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drawings/drawing17.xml" ContentType="application/vnd.openxmlformats-officedocument.drawing+xml"/>
  <Override PartName="/xl/comments15.xml" ContentType="application/vnd.openxmlformats-officedocument.spreadsheetml.comments+xml"/>
  <Override PartName="/xl/drawings/drawing18.xml" ContentType="application/vnd.openxmlformats-officedocument.drawing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OGELIO\transparencia\"/>
    </mc:Choice>
  </mc:AlternateContent>
  <bookViews>
    <workbookView xWindow="0" yWindow="60" windowWidth="15195" windowHeight="9210" tabRatio="955" firstSheet="1" activeTab="1"/>
  </bookViews>
  <sheets>
    <sheet name="ACTUALIZACIONES" sheetId="29" state="hidden" r:id="rId1"/>
    <sheet name="CONCENTRADO" sheetId="18" r:id="rId2"/>
    <sheet name="CONCENTRADO REAL" sheetId="35" state="hidden" r:id="rId3"/>
    <sheet name="PRES. TOTAL CALENARIZADA 2013" sheetId="13" r:id="rId4"/>
    <sheet name="Presupuestacion estatal" sheetId="7" r:id="rId5"/>
    <sheet name="Presupuestacion federal" sheetId="12" r:id="rId6"/>
    <sheet name="calculo de ingresos propios" sheetId="15" r:id="rId7"/>
    <sheet name="remanentes 2012" sheetId="16" r:id="rId8"/>
    <sheet name="COECYTJAL" sheetId="33" r:id="rId9"/>
    <sheet name="ELECTROMECANICA" sheetId="17" r:id="rId10"/>
    <sheet name="ALIMENTARIAS" sheetId="20" r:id="rId11"/>
    <sheet name="INOVACION AGRICOLA" sheetId="21" r:id="rId12"/>
    <sheet name="SERVICIOS ESCOLARES" sheetId="22" r:id="rId13"/>
    <sheet name="DESARROLLO ACADEMICO" sheetId="23" r:id="rId14"/>
    <sheet name="VINCULACIÓN" sheetId="19" r:id="rId15"/>
    <sheet name="ACADEMICO TOTALIZADO" sheetId="27" r:id="rId16"/>
    <sheet name="PLANEACION" sheetId="24" r:id="rId17"/>
    <sheet name="CALIDAD" sheetId="25" r:id="rId18"/>
    <sheet name="ADMON REC" sheetId="26" r:id="rId19"/>
  </sheets>
  <definedNames>
    <definedName name="_xlnm.Print_Area" localSheetId="15">'ACADEMICO TOTALIZADO'!$A$1:$I$126</definedName>
    <definedName name="_xlnm.Print_Area" localSheetId="18">'ADMON REC'!$A$1:$I$126</definedName>
    <definedName name="_xlnm.Print_Area" localSheetId="10">ALIMENTARIAS!$A$1:$J$126</definedName>
    <definedName name="_xlnm.Print_Area" localSheetId="6">'calculo de ingresos propios'!$A$1:$Q$125</definedName>
    <definedName name="_xlnm.Print_Area" localSheetId="17">CALIDAD!$A$1:$I$126</definedName>
    <definedName name="_xlnm.Print_Area" localSheetId="8">COECYTJAL!$A$1:$Q$125</definedName>
    <definedName name="_xlnm.Print_Area" localSheetId="1">CONCENTRADO!$A$1:$J$113</definedName>
    <definedName name="_xlnm.Print_Area" localSheetId="2">'CONCENTRADO REAL'!$A$1:$K$112</definedName>
    <definedName name="_xlnm.Print_Area" localSheetId="13">'DESARROLLO ACADEMICO'!$A$1:$J$126</definedName>
    <definedName name="_xlnm.Print_Area" localSheetId="9">ELECTROMECANICA!$A$1:$I$125</definedName>
    <definedName name="_xlnm.Print_Area" localSheetId="11">'INOVACION AGRICOLA'!$A$1:$I$126</definedName>
    <definedName name="_xlnm.Print_Area" localSheetId="16">PLANEACION!$A$1:$I$123</definedName>
    <definedName name="_xlnm.Print_Area" localSheetId="3">'PRES. TOTAL CALENARIZADA 2013'!$A$1:$Q$130</definedName>
    <definedName name="_xlnm.Print_Area" localSheetId="4">'Presupuestacion estatal'!$A$1:$Q$129</definedName>
    <definedName name="_xlnm.Print_Area" localSheetId="5">'Presupuestacion federal'!$A$1:$R$128</definedName>
    <definedName name="_xlnm.Print_Area" localSheetId="7">'remanentes 2012'!$A$1:$Q$125</definedName>
    <definedName name="_xlnm.Print_Area" localSheetId="12">'SERVICIOS ESCOLARES'!$A$1:$I$126</definedName>
    <definedName name="_xlnm.Print_Area" localSheetId="14">VINCULACIÓN!$A$1:$I$126</definedName>
    <definedName name="_xlnm.Database" localSheetId="15">#REF!</definedName>
    <definedName name="_xlnm.Database" localSheetId="18">#REF!</definedName>
    <definedName name="_xlnm.Database" localSheetId="10">#REF!</definedName>
    <definedName name="_xlnm.Database" localSheetId="6">#REF!</definedName>
    <definedName name="_xlnm.Database" localSheetId="17">#REF!</definedName>
    <definedName name="_xlnm.Database" localSheetId="8">#REF!</definedName>
    <definedName name="_xlnm.Database" localSheetId="2">#REF!</definedName>
    <definedName name="_xlnm.Database" localSheetId="13">#REF!</definedName>
    <definedName name="_xlnm.Database" localSheetId="9">#REF!</definedName>
    <definedName name="_xlnm.Database" localSheetId="11">#REF!</definedName>
    <definedName name="_xlnm.Database" localSheetId="16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12">#REF!</definedName>
    <definedName name="_xlnm.Database" localSheetId="14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P26" i="12" l="1"/>
  <c r="P14" i="12"/>
  <c r="P13" i="12"/>
  <c r="P26" i="7"/>
  <c r="P14" i="7"/>
  <c r="P13" i="7"/>
  <c r="F13" i="26"/>
  <c r="E13" i="26"/>
  <c r="F26" i="26"/>
  <c r="E26" i="26"/>
  <c r="F132" i="18"/>
  <c r="E81" i="18" l="1"/>
  <c r="J81" i="18"/>
  <c r="J109" i="18"/>
  <c r="J104" i="18"/>
  <c r="J102" i="18"/>
  <c r="J64" i="18"/>
  <c r="J25" i="18"/>
  <c r="P26" i="13"/>
  <c r="Q26" i="15"/>
  <c r="P109" i="13"/>
  <c r="D109" i="15"/>
  <c r="D110" i="15"/>
  <c r="D111" i="15"/>
  <c r="E108" i="13"/>
  <c r="F108" i="13"/>
  <c r="G108" i="13"/>
  <c r="H108" i="13"/>
  <c r="J108" i="13"/>
  <c r="K108" i="13"/>
  <c r="L108" i="13"/>
  <c r="M108" i="13"/>
  <c r="N108" i="13"/>
  <c r="O108" i="13"/>
  <c r="P108" i="13"/>
  <c r="E109" i="13"/>
  <c r="F109" i="13"/>
  <c r="G109" i="13"/>
  <c r="I109" i="13"/>
  <c r="J109" i="13"/>
  <c r="K109" i="13"/>
  <c r="L109" i="13"/>
  <c r="M109" i="13"/>
  <c r="N109" i="13"/>
  <c r="O109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E111" i="13"/>
  <c r="G111" i="13"/>
  <c r="H111" i="13"/>
  <c r="I111" i="13"/>
  <c r="J111" i="13"/>
  <c r="K111" i="13"/>
  <c r="L111" i="13"/>
  <c r="M111" i="13"/>
  <c r="N111" i="13"/>
  <c r="O111" i="13"/>
  <c r="P111" i="13"/>
  <c r="P99" i="15"/>
  <c r="O99" i="15"/>
  <c r="J110" i="18" l="1"/>
  <c r="G100" i="19"/>
  <c r="G98" i="26"/>
  <c r="G91" i="26"/>
  <c r="G54" i="26"/>
  <c r="H85" i="26"/>
  <c r="H86" i="26"/>
  <c r="G99" i="25"/>
  <c r="G99" i="23"/>
  <c r="G96" i="19"/>
  <c r="E106" i="24"/>
  <c r="I6" i="25" l="1"/>
  <c r="I6" i="26" s="1"/>
  <c r="I5" i="24"/>
  <c r="I5" i="19"/>
  <c r="I5" i="22"/>
  <c r="I7" i="21"/>
  <c r="I7" i="22" s="1"/>
  <c r="J7" i="23" s="1"/>
  <c r="I7" i="19" s="1"/>
  <c r="I7" i="27" s="1"/>
  <c r="I7" i="24" s="1"/>
  <c r="I7" i="25" s="1"/>
  <c r="I7" i="26" s="1"/>
  <c r="J9" i="20"/>
  <c r="I9" i="21" s="1"/>
  <c r="I9" i="22" s="1"/>
  <c r="J9" i="23" s="1"/>
  <c r="I9" i="19" s="1"/>
  <c r="I9" i="27" s="1"/>
  <c r="I9" i="24" s="1"/>
  <c r="I9" i="25" s="1"/>
  <c r="I9" i="26" s="1"/>
  <c r="J6" i="20"/>
  <c r="I6" i="21" s="1"/>
  <c r="I6" i="22" s="1"/>
  <c r="J6" i="23" s="1"/>
  <c r="I6" i="19" s="1"/>
  <c r="I6" i="27" s="1"/>
  <c r="J4" i="20"/>
  <c r="I4" i="21" s="1"/>
  <c r="I4" i="22" s="1"/>
  <c r="J4" i="23" s="1"/>
  <c r="I4" i="19" s="1"/>
  <c r="I4" i="27" s="1"/>
  <c r="I4" i="24" s="1"/>
  <c r="I4" i="25" s="1"/>
  <c r="I4" i="26" s="1"/>
  <c r="H68" i="26"/>
  <c r="H102" i="23"/>
  <c r="H100" i="19"/>
  <c r="H93" i="17"/>
  <c r="N68" i="13"/>
  <c r="H32" i="22"/>
  <c r="K109" i="35"/>
  <c r="K104" i="35"/>
  <c r="K102" i="35"/>
  <c r="K64" i="35"/>
  <c r="K110" i="35" l="1"/>
  <c r="G108" i="35"/>
  <c r="F108" i="35"/>
  <c r="E108" i="35"/>
  <c r="B108" i="35"/>
  <c r="A108" i="35"/>
  <c r="I107" i="35"/>
  <c r="H107" i="35"/>
  <c r="G107" i="35"/>
  <c r="F107" i="35"/>
  <c r="E107" i="35"/>
  <c r="B107" i="35"/>
  <c r="A107" i="35"/>
  <c r="I106" i="35"/>
  <c r="G106" i="35"/>
  <c r="F106" i="35"/>
  <c r="E106" i="35"/>
  <c r="B106" i="35"/>
  <c r="A106" i="35"/>
  <c r="I105" i="35"/>
  <c r="G105" i="35"/>
  <c r="F105" i="35"/>
  <c r="E105" i="35"/>
  <c r="B105" i="35"/>
  <c r="A105" i="35"/>
  <c r="I103" i="35"/>
  <c r="I104" i="35" s="1"/>
  <c r="H103" i="35"/>
  <c r="H104" i="35" s="1"/>
  <c r="G103" i="35"/>
  <c r="G104" i="35" s="1"/>
  <c r="F103" i="35"/>
  <c r="F104" i="35" s="1"/>
  <c r="E103" i="35"/>
  <c r="B103" i="35"/>
  <c r="A103" i="35"/>
  <c r="I101" i="35"/>
  <c r="H101" i="35"/>
  <c r="G101" i="35"/>
  <c r="B101" i="35"/>
  <c r="A101" i="35"/>
  <c r="I100" i="35"/>
  <c r="H100" i="35"/>
  <c r="G100" i="35"/>
  <c r="B100" i="35"/>
  <c r="A100" i="35"/>
  <c r="I99" i="35"/>
  <c r="H99" i="35"/>
  <c r="G99" i="35"/>
  <c r="B99" i="35"/>
  <c r="A99" i="35"/>
  <c r="I98" i="35"/>
  <c r="H98" i="35"/>
  <c r="G98" i="35"/>
  <c r="B98" i="35"/>
  <c r="A98" i="35"/>
  <c r="I97" i="35"/>
  <c r="H97" i="35"/>
  <c r="G97" i="35"/>
  <c r="B97" i="35"/>
  <c r="A97" i="35"/>
  <c r="I96" i="35"/>
  <c r="H96" i="35"/>
  <c r="G96" i="35"/>
  <c r="B96" i="35"/>
  <c r="A96" i="35"/>
  <c r="I95" i="35"/>
  <c r="H95" i="35"/>
  <c r="G95" i="35"/>
  <c r="B95" i="35"/>
  <c r="A95" i="35"/>
  <c r="I94" i="35"/>
  <c r="H94" i="35"/>
  <c r="G94" i="35"/>
  <c r="B94" i="35"/>
  <c r="A94" i="35"/>
  <c r="I93" i="35"/>
  <c r="H93" i="35"/>
  <c r="G93" i="35"/>
  <c r="B93" i="35"/>
  <c r="A93" i="35"/>
  <c r="I92" i="35"/>
  <c r="H92" i="35"/>
  <c r="G92" i="35"/>
  <c r="B92" i="35"/>
  <c r="A92" i="35"/>
  <c r="I91" i="35"/>
  <c r="H91" i="35"/>
  <c r="G91" i="35"/>
  <c r="B91" i="35"/>
  <c r="A91" i="35"/>
  <c r="I90" i="35"/>
  <c r="H90" i="35"/>
  <c r="G90" i="35"/>
  <c r="B90" i="35"/>
  <c r="A90" i="35"/>
  <c r="I89" i="35"/>
  <c r="H89" i="35"/>
  <c r="G89" i="35"/>
  <c r="B89" i="35"/>
  <c r="A89" i="35"/>
  <c r="I88" i="35"/>
  <c r="H88" i="35"/>
  <c r="G88" i="35"/>
  <c r="B88" i="35"/>
  <c r="A88" i="35"/>
  <c r="I87" i="35"/>
  <c r="H87" i="35"/>
  <c r="F87" i="35"/>
  <c r="B87" i="35"/>
  <c r="A87" i="35"/>
  <c r="I86" i="35"/>
  <c r="H86" i="35"/>
  <c r="G86" i="35"/>
  <c r="B86" i="35"/>
  <c r="A86" i="35"/>
  <c r="I85" i="35"/>
  <c r="H85" i="35"/>
  <c r="G85" i="35"/>
  <c r="B85" i="35"/>
  <c r="A85" i="35"/>
  <c r="I84" i="35"/>
  <c r="H84" i="35"/>
  <c r="G84" i="35"/>
  <c r="B84" i="35"/>
  <c r="A84" i="35"/>
  <c r="I83" i="35"/>
  <c r="H83" i="35"/>
  <c r="G83" i="35"/>
  <c r="B83" i="35"/>
  <c r="A83" i="35"/>
  <c r="I82" i="35"/>
  <c r="G82" i="35"/>
  <c r="B82" i="35"/>
  <c r="A82" i="35"/>
  <c r="I81" i="35"/>
  <c r="G81" i="35"/>
  <c r="B81" i="35"/>
  <c r="A81" i="35"/>
  <c r="I80" i="35"/>
  <c r="H80" i="35"/>
  <c r="G80" i="35"/>
  <c r="B80" i="35"/>
  <c r="A80" i="35"/>
  <c r="I79" i="35"/>
  <c r="H79" i="35"/>
  <c r="G79" i="35"/>
  <c r="B79" i="35"/>
  <c r="A79" i="35"/>
  <c r="I78" i="35"/>
  <c r="H78" i="35"/>
  <c r="G78" i="35"/>
  <c r="B78" i="35"/>
  <c r="A78" i="35"/>
  <c r="I77" i="35"/>
  <c r="H77" i="35"/>
  <c r="G77" i="35"/>
  <c r="F77" i="35"/>
  <c r="B77" i="35"/>
  <c r="A77" i="35"/>
  <c r="I76" i="35"/>
  <c r="H76" i="35"/>
  <c r="G76" i="35"/>
  <c r="B76" i="35"/>
  <c r="A76" i="35"/>
  <c r="I75" i="35"/>
  <c r="H75" i="35"/>
  <c r="G75" i="35"/>
  <c r="B75" i="35"/>
  <c r="A75" i="35"/>
  <c r="I74" i="35"/>
  <c r="G74" i="35"/>
  <c r="B74" i="35"/>
  <c r="A74" i="35"/>
  <c r="I73" i="35"/>
  <c r="H73" i="35"/>
  <c r="G73" i="35"/>
  <c r="B73" i="35"/>
  <c r="A73" i="35"/>
  <c r="I72" i="35"/>
  <c r="H72" i="35"/>
  <c r="G72" i="35"/>
  <c r="B72" i="35"/>
  <c r="A72" i="35"/>
  <c r="I71" i="35"/>
  <c r="H71" i="35"/>
  <c r="G71" i="35"/>
  <c r="B71" i="35"/>
  <c r="A71" i="35"/>
  <c r="I70" i="35"/>
  <c r="H70" i="35"/>
  <c r="G70" i="35"/>
  <c r="E70" i="35"/>
  <c r="B70" i="35"/>
  <c r="A70" i="35"/>
  <c r="I69" i="35"/>
  <c r="H69" i="35"/>
  <c r="G69" i="35"/>
  <c r="B69" i="35"/>
  <c r="A69" i="35"/>
  <c r="I68" i="35"/>
  <c r="H68" i="35"/>
  <c r="G68" i="35"/>
  <c r="B68" i="35"/>
  <c r="A68" i="35"/>
  <c r="I67" i="35"/>
  <c r="H67" i="35"/>
  <c r="G67" i="35"/>
  <c r="B67" i="35"/>
  <c r="A67" i="35"/>
  <c r="I66" i="35"/>
  <c r="H66" i="35"/>
  <c r="G66" i="35"/>
  <c r="B66" i="35"/>
  <c r="A66" i="35"/>
  <c r="I65" i="35"/>
  <c r="H65" i="35"/>
  <c r="G65" i="35"/>
  <c r="B65" i="35"/>
  <c r="A65" i="35"/>
  <c r="I63" i="35"/>
  <c r="H63" i="35"/>
  <c r="G63" i="35"/>
  <c r="B63" i="35"/>
  <c r="A63" i="35"/>
  <c r="I62" i="35"/>
  <c r="H62" i="35"/>
  <c r="G62" i="35"/>
  <c r="B62" i="35"/>
  <c r="A62" i="35"/>
  <c r="I61" i="35"/>
  <c r="H61" i="35"/>
  <c r="G61" i="35"/>
  <c r="B61" i="35"/>
  <c r="A61" i="35"/>
  <c r="I60" i="35"/>
  <c r="H60" i="35"/>
  <c r="G60" i="35"/>
  <c r="B60" i="35"/>
  <c r="A60" i="35"/>
  <c r="I59" i="35"/>
  <c r="G59" i="35"/>
  <c r="B59" i="35"/>
  <c r="A59" i="35"/>
  <c r="I58" i="35"/>
  <c r="H58" i="35"/>
  <c r="G58" i="35"/>
  <c r="B58" i="35"/>
  <c r="A58" i="35"/>
  <c r="I57" i="35"/>
  <c r="H57" i="35"/>
  <c r="G57" i="35"/>
  <c r="B57" i="35"/>
  <c r="A57" i="35"/>
  <c r="I56" i="35"/>
  <c r="H56" i="35"/>
  <c r="G56" i="35"/>
  <c r="B56" i="35"/>
  <c r="A56" i="35"/>
  <c r="I55" i="35"/>
  <c r="H55" i="35"/>
  <c r="G55" i="35"/>
  <c r="B55" i="35"/>
  <c r="A55" i="35"/>
  <c r="I54" i="35"/>
  <c r="H54" i="35"/>
  <c r="G54" i="35"/>
  <c r="B54" i="35"/>
  <c r="A54" i="35"/>
  <c r="I53" i="35"/>
  <c r="H53" i="35"/>
  <c r="G53" i="35"/>
  <c r="F53" i="35"/>
  <c r="E53" i="35"/>
  <c r="B53" i="35"/>
  <c r="A53" i="35"/>
  <c r="I52" i="35"/>
  <c r="H52" i="35"/>
  <c r="G52" i="35"/>
  <c r="B52" i="35"/>
  <c r="A52" i="35"/>
  <c r="I51" i="35"/>
  <c r="H51" i="35"/>
  <c r="G51" i="35"/>
  <c r="B51" i="35"/>
  <c r="A51" i="35"/>
  <c r="I50" i="35"/>
  <c r="H50" i="35"/>
  <c r="G50" i="35"/>
  <c r="B50" i="35"/>
  <c r="A50" i="35"/>
  <c r="I49" i="35"/>
  <c r="H49" i="35"/>
  <c r="G49" i="35"/>
  <c r="F49" i="35"/>
  <c r="E49" i="35"/>
  <c r="B49" i="35"/>
  <c r="A49" i="35"/>
  <c r="I48" i="35"/>
  <c r="H48" i="35"/>
  <c r="G48" i="35"/>
  <c r="F48" i="35"/>
  <c r="E48" i="35"/>
  <c r="B48" i="35"/>
  <c r="A48" i="35"/>
  <c r="I47" i="35"/>
  <c r="H47" i="35"/>
  <c r="G47" i="35"/>
  <c r="B47" i="35"/>
  <c r="A47" i="35"/>
  <c r="I46" i="35"/>
  <c r="H46" i="35"/>
  <c r="G46" i="35"/>
  <c r="B46" i="35"/>
  <c r="A46" i="35"/>
  <c r="I45" i="35"/>
  <c r="H45" i="35"/>
  <c r="G45" i="35"/>
  <c r="B45" i="35"/>
  <c r="A45" i="35"/>
  <c r="I44" i="35"/>
  <c r="H44" i="35"/>
  <c r="G44" i="35"/>
  <c r="B44" i="35"/>
  <c r="A44" i="35"/>
  <c r="I43" i="35"/>
  <c r="H43" i="35"/>
  <c r="G43" i="35"/>
  <c r="B43" i="35"/>
  <c r="A43" i="35"/>
  <c r="I42" i="35"/>
  <c r="H42" i="35"/>
  <c r="G42" i="35"/>
  <c r="B42" i="35"/>
  <c r="A42" i="35"/>
  <c r="I41" i="35"/>
  <c r="H41" i="35"/>
  <c r="G41" i="35"/>
  <c r="B41" i="35"/>
  <c r="A41" i="35"/>
  <c r="I40" i="35"/>
  <c r="H40" i="35"/>
  <c r="G40" i="35"/>
  <c r="B40" i="35"/>
  <c r="A40" i="35"/>
  <c r="I39" i="35"/>
  <c r="H39" i="35"/>
  <c r="G39" i="35"/>
  <c r="B39" i="35"/>
  <c r="A39" i="35"/>
  <c r="I38" i="35"/>
  <c r="H38" i="35"/>
  <c r="G38" i="35"/>
  <c r="B38" i="35"/>
  <c r="A38" i="35"/>
  <c r="I37" i="35"/>
  <c r="H37" i="35"/>
  <c r="G37" i="35"/>
  <c r="B37" i="35"/>
  <c r="A37" i="35"/>
  <c r="I36" i="35"/>
  <c r="H36" i="35"/>
  <c r="G36" i="35"/>
  <c r="B36" i="35"/>
  <c r="A36" i="35"/>
  <c r="I35" i="35"/>
  <c r="H35" i="35"/>
  <c r="G35" i="35"/>
  <c r="B35" i="35"/>
  <c r="A35" i="35"/>
  <c r="I34" i="35"/>
  <c r="H34" i="35"/>
  <c r="G34" i="35"/>
  <c r="B34" i="35"/>
  <c r="A34" i="35"/>
  <c r="I33" i="35"/>
  <c r="H33" i="35"/>
  <c r="G33" i="35"/>
  <c r="B33" i="35"/>
  <c r="A33" i="35"/>
  <c r="I32" i="35"/>
  <c r="H32" i="35"/>
  <c r="G32" i="35"/>
  <c r="F32" i="35"/>
  <c r="E32" i="35"/>
  <c r="B32" i="35"/>
  <c r="A32" i="35"/>
  <c r="I31" i="35"/>
  <c r="H31" i="35"/>
  <c r="G31" i="35"/>
  <c r="B31" i="35"/>
  <c r="A31" i="35"/>
  <c r="I30" i="35"/>
  <c r="H30" i="35"/>
  <c r="G30" i="35"/>
  <c r="B30" i="35"/>
  <c r="A30" i="35"/>
  <c r="I29" i="35"/>
  <c r="H29" i="35"/>
  <c r="G29" i="35"/>
  <c r="B29" i="35"/>
  <c r="A29" i="35"/>
  <c r="I28" i="35"/>
  <c r="H28" i="35"/>
  <c r="G28" i="35"/>
  <c r="B28" i="35"/>
  <c r="A28" i="35"/>
  <c r="I27" i="35"/>
  <c r="H27" i="35"/>
  <c r="G27" i="35"/>
  <c r="B27" i="35"/>
  <c r="A27" i="35"/>
  <c r="I26" i="35"/>
  <c r="H26" i="35"/>
  <c r="G26" i="35"/>
  <c r="B26" i="35"/>
  <c r="A26" i="35"/>
  <c r="I24" i="35"/>
  <c r="H24" i="35"/>
  <c r="G24" i="35"/>
  <c r="B24" i="35"/>
  <c r="A24" i="35"/>
  <c r="I23" i="35"/>
  <c r="H23" i="35"/>
  <c r="G23" i="35"/>
  <c r="B23" i="35"/>
  <c r="A23" i="35"/>
  <c r="I22" i="35"/>
  <c r="H22" i="35"/>
  <c r="G22" i="35"/>
  <c r="F22" i="35"/>
  <c r="E22" i="35"/>
  <c r="B22" i="35"/>
  <c r="A22" i="35"/>
  <c r="I21" i="35"/>
  <c r="H21" i="35"/>
  <c r="G21" i="35"/>
  <c r="F21" i="35"/>
  <c r="E21" i="35"/>
  <c r="B21" i="35"/>
  <c r="A21" i="35"/>
  <c r="I20" i="35"/>
  <c r="H20" i="35"/>
  <c r="G20" i="35"/>
  <c r="F20" i="35"/>
  <c r="E20" i="35"/>
  <c r="B20" i="35"/>
  <c r="A20" i="35"/>
  <c r="I19" i="35"/>
  <c r="H19" i="35"/>
  <c r="G19" i="35"/>
  <c r="B19" i="35"/>
  <c r="A19" i="35"/>
  <c r="I18" i="35"/>
  <c r="H18" i="35"/>
  <c r="G18" i="35"/>
  <c r="B18" i="35"/>
  <c r="A18" i="35"/>
  <c r="I17" i="35"/>
  <c r="H17" i="35"/>
  <c r="G17" i="35"/>
  <c r="B17" i="35"/>
  <c r="A17" i="35"/>
  <c r="I16" i="35"/>
  <c r="H16" i="35"/>
  <c r="G16" i="35"/>
  <c r="F16" i="35"/>
  <c r="E16" i="35"/>
  <c r="B16" i="35"/>
  <c r="A16" i="35"/>
  <c r="I15" i="35"/>
  <c r="H15" i="35"/>
  <c r="G15" i="35"/>
  <c r="F15" i="35"/>
  <c r="E15" i="35"/>
  <c r="B15" i="35"/>
  <c r="A15" i="35"/>
  <c r="I14" i="35"/>
  <c r="H14" i="35"/>
  <c r="G14" i="35"/>
  <c r="B14" i="35"/>
  <c r="A14" i="35"/>
  <c r="I13" i="35"/>
  <c r="H13" i="35"/>
  <c r="G13" i="35"/>
  <c r="B13" i="35"/>
  <c r="A13" i="35"/>
  <c r="I12" i="35"/>
  <c r="H12" i="35"/>
  <c r="G12" i="35"/>
  <c r="B12" i="35"/>
  <c r="A12" i="35"/>
  <c r="I11" i="35"/>
  <c r="H11" i="35"/>
  <c r="G11" i="35"/>
  <c r="F11" i="35"/>
  <c r="E11" i="35"/>
  <c r="B11" i="35"/>
  <c r="A11" i="35"/>
  <c r="I10" i="35"/>
  <c r="H10" i="35"/>
  <c r="G10" i="35"/>
  <c r="F10" i="35"/>
  <c r="E10" i="35"/>
  <c r="B10" i="35"/>
  <c r="A10" i="35"/>
  <c r="D68" i="29"/>
  <c r="H70" i="29"/>
  <c r="G70" i="29"/>
  <c r="G60" i="29"/>
  <c r="G54" i="29"/>
  <c r="F48" i="29"/>
  <c r="F47" i="29"/>
  <c r="F46" i="29"/>
  <c r="F45" i="29"/>
  <c r="F44" i="29"/>
  <c r="F43" i="29"/>
  <c r="F42" i="29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G27" i="27"/>
  <c r="G26" i="27"/>
  <c r="G25" i="27"/>
  <c r="G24" i="27"/>
  <c r="G23" i="27"/>
  <c r="G22" i="27"/>
  <c r="G21" i="27"/>
  <c r="G20" i="27"/>
  <c r="G19" i="27"/>
  <c r="G18" i="27"/>
  <c r="G17" i="27"/>
  <c r="G16" i="27"/>
  <c r="G15" i="27"/>
  <c r="G14" i="27"/>
  <c r="G13" i="27"/>
  <c r="F26" i="27"/>
  <c r="F25" i="27"/>
  <c r="F24" i="27"/>
  <c r="F23" i="27"/>
  <c r="F19" i="27"/>
  <c r="F18" i="27"/>
  <c r="F15" i="27"/>
  <c r="F14" i="27"/>
  <c r="F13" i="27"/>
  <c r="E26" i="27"/>
  <c r="E25" i="27"/>
  <c r="E24" i="27"/>
  <c r="E23" i="27"/>
  <c r="E19" i="27"/>
  <c r="E18" i="27"/>
  <c r="E15" i="27"/>
  <c r="E14" i="27"/>
  <c r="E13" i="27"/>
  <c r="B108" i="18"/>
  <c r="B107" i="18"/>
  <c r="B106" i="18"/>
  <c r="B105" i="18"/>
  <c r="B103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B67" i="18"/>
  <c r="B66" i="18"/>
  <c r="B65" i="18"/>
  <c r="B63" i="18"/>
  <c r="B62" i="18"/>
  <c r="B61" i="18"/>
  <c r="B60" i="18"/>
  <c r="B59" i="18"/>
  <c r="B58" i="18"/>
  <c r="B57" i="18"/>
  <c r="B56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31" i="18"/>
  <c r="B30" i="18"/>
  <c r="B29" i="18"/>
  <c r="B28" i="18"/>
  <c r="B27" i="18"/>
  <c r="B26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10" i="18"/>
  <c r="F109" i="35" l="1"/>
  <c r="H25" i="35"/>
  <c r="F68" i="29"/>
  <c r="G25" i="35"/>
  <c r="I25" i="35"/>
  <c r="G64" i="35"/>
  <c r="I64" i="35"/>
  <c r="I102" i="35"/>
  <c r="G109" i="35"/>
  <c r="E104" i="35"/>
  <c r="E109" i="35"/>
  <c r="G47" i="29"/>
  <c r="I101" i="18"/>
  <c r="I100" i="18"/>
  <c r="I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86" i="18"/>
  <c r="I85" i="18"/>
  <c r="I84" i="18"/>
  <c r="I83" i="18"/>
  <c r="I82" i="18"/>
  <c r="I81" i="18"/>
  <c r="I80" i="18"/>
  <c r="I79" i="18"/>
  <c r="I78" i="18"/>
  <c r="I77" i="18"/>
  <c r="I76" i="18"/>
  <c r="I75" i="18"/>
  <c r="I74" i="18"/>
  <c r="I73" i="18"/>
  <c r="I72" i="18"/>
  <c r="I71" i="18"/>
  <c r="I70" i="18"/>
  <c r="I69" i="18"/>
  <c r="I68" i="18"/>
  <c r="I67" i="18"/>
  <c r="I66" i="18"/>
  <c r="I65" i="18"/>
  <c r="I27" i="18"/>
  <c r="I28" i="18"/>
  <c r="I29" i="18"/>
  <c r="I30" i="18"/>
  <c r="I31" i="18"/>
  <c r="I32" i="18"/>
  <c r="I33" i="18"/>
  <c r="I34" i="18"/>
  <c r="I35" i="18"/>
  <c r="I36" i="18"/>
  <c r="I37" i="18"/>
  <c r="I38" i="18"/>
  <c r="I39" i="18"/>
  <c r="I40" i="18"/>
  <c r="I41" i="18"/>
  <c r="I42" i="18"/>
  <c r="I43" i="18"/>
  <c r="I44" i="18"/>
  <c r="I45" i="18"/>
  <c r="I46" i="18"/>
  <c r="I47" i="18"/>
  <c r="I48" i="18"/>
  <c r="I49" i="18"/>
  <c r="I50" i="18"/>
  <c r="I51" i="18"/>
  <c r="I52" i="18"/>
  <c r="I53" i="18"/>
  <c r="I54" i="18"/>
  <c r="I55" i="18"/>
  <c r="I56" i="18"/>
  <c r="I57" i="18"/>
  <c r="I58" i="18"/>
  <c r="I59" i="18"/>
  <c r="I60" i="18"/>
  <c r="I61" i="18"/>
  <c r="I62" i="18"/>
  <c r="I63" i="18"/>
  <c r="I26" i="18"/>
  <c r="I107" i="18"/>
  <c r="I106" i="18"/>
  <c r="I105" i="18"/>
  <c r="I103" i="18"/>
  <c r="I104" i="18" s="1"/>
  <c r="I24" i="18"/>
  <c r="I23" i="18"/>
  <c r="I22" i="18"/>
  <c r="I21" i="18"/>
  <c r="I20" i="18"/>
  <c r="I19" i="18"/>
  <c r="I18" i="18"/>
  <c r="I17" i="18"/>
  <c r="I16" i="18"/>
  <c r="I15" i="18"/>
  <c r="I14" i="18"/>
  <c r="I13" i="18"/>
  <c r="I12" i="18"/>
  <c r="I11" i="18"/>
  <c r="I10" i="18"/>
  <c r="D119" i="20"/>
  <c r="D118" i="20"/>
  <c r="D116" i="20"/>
  <c r="D115" i="20"/>
  <c r="D114" i="20"/>
  <c r="D113" i="20"/>
  <c r="D111" i="20"/>
  <c r="D110" i="20"/>
  <c r="D109" i="20"/>
  <c r="D108" i="20"/>
  <c r="D106" i="20"/>
  <c r="D104" i="20"/>
  <c r="D103" i="20"/>
  <c r="D102" i="20"/>
  <c r="D101" i="20"/>
  <c r="D100" i="20"/>
  <c r="D99" i="20"/>
  <c r="D98" i="20"/>
  <c r="D97" i="20"/>
  <c r="D96" i="20"/>
  <c r="D95" i="20"/>
  <c r="D94" i="20"/>
  <c r="D93" i="20"/>
  <c r="D92" i="20"/>
  <c r="D91" i="20"/>
  <c r="D89" i="20"/>
  <c r="D88" i="20"/>
  <c r="D87" i="20"/>
  <c r="D86" i="20"/>
  <c r="D85" i="20"/>
  <c r="D84" i="20"/>
  <c r="D83" i="20"/>
  <c r="D82" i="20"/>
  <c r="D81" i="20"/>
  <c r="D80" i="20"/>
  <c r="D79" i="20"/>
  <c r="D78" i="20"/>
  <c r="D77" i="20"/>
  <c r="D76" i="20"/>
  <c r="D75" i="20"/>
  <c r="D74" i="20"/>
  <c r="D73" i="20"/>
  <c r="D72" i="20"/>
  <c r="D71" i="20"/>
  <c r="D70" i="20"/>
  <c r="D69" i="20"/>
  <c r="D68" i="20"/>
  <c r="D66" i="20"/>
  <c r="D65" i="20"/>
  <c r="D64" i="20"/>
  <c r="D63" i="20"/>
  <c r="D62" i="20"/>
  <c r="D61" i="20"/>
  <c r="D60" i="20"/>
  <c r="D59" i="20"/>
  <c r="D58" i="20"/>
  <c r="D57" i="20"/>
  <c r="D56" i="20"/>
  <c r="D55" i="20"/>
  <c r="D54" i="20"/>
  <c r="D53" i="20"/>
  <c r="D52" i="20"/>
  <c r="D51" i="20"/>
  <c r="D50" i="20"/>
  <c r="D49" i="20"/>
  <c r="D48" i="20"/>
  <c r="D47" i="20"/>
  <c r="D46" i="20"/>
  <c r="D45" i="20"/>
  <c r="D44" i="20"/>
  <c r="D43" i="20"/>
  <c r="D42" i="20"/>
  <c r="D41" i="20"/>
  <c r="D40" i="20"/>
  <c r="D39" i="20"/>
  <c r="D38" i="20"/>
  <c r="D37" i="20"/>
  <c r="D36" i="20"/>
  <c r="D35" i="20"/>
  <c r="D34" i="20"/>
  <c r="D33" i="20"/>
  <c r="D32" i="20"/>
  <c r="D31" i="20"/>
  <c r="D30" i="20"/>
  <c r="D27" i="20"/>
  <c r="D26" i="20"/>
  <c r="D25" i="20"/>
  <c r="D24" i="20"/>
  <c r="D23" i="20"/>
  <c r="D22" i="20"/>
  <c r="D21" i="20"/>
  <c r="D20" i="20"/>
  <c r="D19" i="20"/>
  <c r="D18" i="20"/>
  <c r="D16" i="20"/>
  <c r="D15" i="20"/>
  <c r="D14" i="20"/>
  <c r="D13" i="20"/>
  <c r="I117" i="20"/>
  <c r="I112" i="20"/>
  <c r="I108" i="35" s="1"/>
  <c r="I109" i="35" s="1"/>
  <c r="I105" i="20"/>
  <c r="I67" i="20"/>
  <c r="E69" i="13"/>
  <c r="E70" i="13"/>
  <c r="E71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7" i="13"/>
  <c r="E88" i="13"/>
  <c r="E89" i="13"/>
  <c r="E9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68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64" i="13"/>
  <c r="E65" i="13"/>
  <c r="E66" i="13"/>
  <c r="E29" i="13"/>
  <c r="E67" i="33"/>
  <c r="P120" i="33"/>
  <c r="O120" i="33"/>
  <c r="N120" i="33"/>
  <c r="M120" i="33"/>
  <c r="L120" i="33"/>
  <c r="K120" i="33"/>
  <c r="J120" i="33"/>
  <c r="I120" i="33"/>
  <c r="G120" i="33"/>
  <c r="F120" i="33"/>
  <c r="E120" i="33"/>
  <c r="D119" i="33"/>
  <c r="D118" i="33"/>
  <c r="D120" i="33" s="1"/>
  <c r="P117" i="33"/>
  <c r="O117" i="33"/>
  <c r="N117" i="33"/>
  <c r="M117" i="33"/>
  <c r="L117" i="33"/>
  <c r="K117" i="33"/>
  <c r="J117" i="33"/>
  <c r="I117" i="33"/>
  <c r="H117" i="33"/>
  <c r="G117" i="33"/>
  <c r="F117" i="33"/>
  <c r="E117" i="33"/>
  <c r="D116" i="33"/>
  <c r="D117" i="33" s="1"/>
  <c r="P112" i="33"/>
  <c r="O112" i="33"/>
  <c r="N112" i="33"/>
  <c r="M112" i="33"/>
  <c r="L112" i="33"/>
  <c r="K112" i="33"/>
  <c r="J112" i="33"/>
  <c r="G112" i="33"/>
  <c r="E112" i="33"/>
  <c r="F112" i="33"/>
  <c r="D110" i="33"/>
  <c r="H112" i="33"/>
  <c r="D109" i="33"/>
  <c r="I112" i="33"/>
  <c r="D108" i="33"/>
  <c r="P107" i="33"/>
  <c r="O107" i="33"/>
  <c r="N107" i="33"/>
  <c r="M107" i="33"/>
  <c r="L107" i="33"/>
  <c r="K107" i="33"/>
  <c r="J107" i="33"/>
  <c r="I107" i="33"/>
  <c r="H107" i="33"/>
  <c r="G107" i="33"/>
  <c r="F107" i="33"/>
  <c r="E107" i="33"/>
  <c r="D106" i="33"/>
  <c r="D107" i="33" s="1"/>
  <c r="P105" i="33"/>
  <c r="O105" i="33"/>
  <c r="N105" i="33"/>
  <c r="M105" i="33"/>
  <c r="G105" i="33"/>
  <c r="F105" i="33"/>
  <c r="D104" i="33"/>
  <c r="D103" i="33"/>
  <c r="D102" i="33"/>
  <c r="D101" i="33"/>
  <c r="D100" i="33"/>
  <c r="D99" i="33"/>
  <c r="D98" i="33"/>
  <c r="D97" i="33"/>
  <c r="D96" i="33"/>
  <c r="D95" i="33"/>
  <c r="D94" i="33"/>
  <c r="H105" i="33"/>
  <c r="D93" i="33"/>
  <c r="D92" i="33"/>
  <c r="D91" i="33"/>
  <c r="D90" i="33"/>
  <c r="D89" i="33"/>
  <c r="D88" i="33"/>
  <c r="D87" i="33"/>
  <c r="E105" i="33"/>
  <c r="D86" i="33"/>
  <c r="D85" i="33"/>
  <c r="L105" i="33"/>
  <c r="K105" i="33"/>
  <c r="J105" i="33"/>
  <c r="I105" i="33"/>
  <c r="D84" i="33"/>
  <c r="D83" i="33"/>
  <c r="D82" i="33"/>
  <c r="D81" i="33"/>
  <c r="D80" i="33"/>
  <c r="D79" i="33"/>
  <c r="D78" i="33"/>
  <c r="D77" i="33"/>
  <c r="D76" i="33"/>
  <c r="D75" i="33"/>
  <c r="D74" i="33"/>
  <c r="D73" i="33"/>
  <c r="D72" i="33"/>
  <c r="D71" i="33"/>
  <c r="D70" i="33"/>
  <c r="D69" i="33"/>
  <c r="D68" i="33"/>
  <c r="R67" i="33"/>
  <c r="D66" i="33"/>
  <c r="D65" i="33"/>
  <c r="D64" i="33"/>
  <c r="D63" i="33"/>
  <c r="D62" i="33"/>
  <c r="D61" i="33"/>
  <c r="D60" i="33"/>
  <c r="D59" i="33"/>
  <c r="D58" i="33"/>
  <c r="D57" i="33"/>
  <c r="D56" i="33"/>
  <c r="D55" i="33"/>
  <c r="D54" i="33"/>
  <c r="D53" i="33"/>
  <c r="D52" i="33"/>
  <c r="D51" i="33"/>
  <c r="D50" i="33"/>
  <c r="D49" i="33"/>
  <c r="D48" i="33"/>
  <c r="D47" i="33"/>
  <c r="D46" i="33"/>
  <c r="D45" i="33"/>
  <c r="D44" i="33"/>
  <c r="D43" i="33"/>
  <c r="D42" i="33"/>
  <c r="D41" i="33"/>
  <c r="D40" i="33"/>
  <c r="D39" i="33"/>
  <c r="D38" i="33"/>
  <c r="D37" i="33"/>
  <c r="D36" i="33"/>
  <c r="D35" i="33"/>
  <c r="D34" i="33"/>
  <c r="D33" i="33"/>
  <c r="D32" i="33"/>
  <c r="D31" i="33"/>
  <c r="D30" i="33"/>
  <c r="D29" i="33"/>
  <c r="P28" i="33"/>
  <c r="O28" i="33"/>
  <c r="N28" i="33"/>
  <c r="M28" i="33"/>
  <c r="K28" i="33"/>
  <c r="J28" i="33"/>
  <c r="I28" i="33"/>
  <c r="H28" i="33"/>
  <c r="G28" i="33"/>
  <c r="F28" i="33"/>
  <c r="E28" i="33"/>
  <c r="D27" i="33"/>
  <c r="D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D13" i="33"/>
  <c r="I113" i="35" l="1"/>
  <c r="I110" i="35"/>
  <c r="I121" i="20"/>
  <c r="I108" i="18"/>
  <c r="I109" i="18" s="1"/>
  <c r="I25" i="18"/>
  <c r="I64" i="18"/>
  <c r="I102" i="18"/>
  <c r="D67" i="33"/>
  <c r="D105" i="33"/>
  <c r="N121" i="33"/>
  <c r="P121" i="33"/>
  <c r="M121" i="33"/>
  <c r="O121" i="33"/>
  <c r="G121" i="33"/>
  <c r="D28" i="33"/>
  <c r="E121" i="33"/>
  <c r="J121" i="33"/>
  <c r="H121" i="33"/>
  <c r="F121" i="33"/>
  <c r="I121" i="33"/>
  <c r="K121" i="33"/>
  <c r="L28" i="33"/>
  <c r="L121" i="33" s="1"/>
  <c r="D111" i="33"/>
  <c r="D112" i="33" s="1"/>
  <c r="D121" i="33" s="1"/>
  <c r="F22" i="23"/>
  <c r="E22" i="23"/>
  <c r="F21" i="23"/>
  <c r="E21" i="23"/>
  <c r="F20" i="23"/>
  <c r="E20" i="23"/>
  <c r="F17" i="23"/>
  <c r="E17" i="23"/>
  <c r="F16" i="23"/>
  <c r="F15" i="26"/>
  <c r="F12" i="35" s="1"/>
  <c r="E15" i="26"/>
  <c r="E12" i="35" s="1"/>
  <c r="E17" i="21"/>
  <c r="F27" i="23"/>
  <c r="E27" i="23"/>
  <c r="E27" i="25"/>
  <c r="F23" i="35"/>
  <c r="E23" i="35"/>
  <c r="E17" i="19"/>
  <c r="E17" i="24"/>
  <c r="E17" i="22"/>
  <c r="E17" i="20"/>
  <c r="D17" i="20" s="1"/>
  <c r="E17" i="17"/>
  <c r="E17" i="25"/>
  <c r="E17" i="26"/>
  <c r="E16" i="23"/>
  <c r="H109" i="25"/>
  <c r="H106" i="35" s="1"/>
  <c r="H111" i="25"/>
  <c r="H108" i="35" s="1"/>
  <c r="H108" i="24"/>
  <c r="H105" i="35" s="1"/>
  <c r="H109" i="35" s="1"/>
  <c r="H107" i="18"/>
  <c r="H106" i="18"/>
  <c r="H105" i="18"/>
  <c r="H103" i="18"/>
  <c r="H104" i="18" s="1"/>
  <c r="G108" i="18"/>
  <c r="G107" i="18"/>
  <c r="G106" i="18"/>
  <c r="G105" i="18"/>
  <c r="G103" i="18"/>
  <c r="G104" i="18" s="1"/>
  <c r="F108" i="18"/>
  <c r="F107" i="18"/>
  <c r="F106" i="18"/>
  <c r="F105" i="18"/>
  <c r="F103" i="18"/>
  <c r="F104" i="18" s="1"/>
  <c r="E108" i="18"/>
  <c r="E107" i="18"/>
  <c r="E106" i="18"/>
  <c r="E105" i="18"/>
  <c r="E103" i="18"/>
  <c r="A105" i="18"/>
  <c r="A106" i="18"/>
  <c r="A107" i="18"/>
  <c r="A108" i="18"/>
  <c r="E72" i="24"/>
  <c r="E69" i="35" s="1"/>
  <c r="H62" i="26"/>
  <c r="H59" i="35" s="1"/>
  <c r="H64" i="35" s="1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51" i="18"/>
  <c r="A52" i="18"/>
  <c r="A53" i="18"/>
  <c r="A54" i="18"/>
  <c r="A55" i="18"/>
  <c r="A56" i="18"/>
  <c r="A57" i="18"/>
  <c r="A58" i="18"/>
  <c r="A59" i="18"/>
  <c r="A60" i="18"/>
  <c r="A61" i="18"/>
  <c r="A62" i="18"/>
  <c r="A63" i="18"/>
  <c r="A65" i="18"/>
  <c r="A66" i="18"/>
  <c r="A67" i="18"/>
  <c r="A68" i="18"/>
  <c r="A69" i="18"/>
  <c r="A70" i="18"/>
  <c r="A71" i="18"/>
  <c r="A72" i="18"/>
  <c r="A73" i="18"/>
  <c r="A74" i="18"/>
  <c r="A75" i="18"/>
  <c r="A76" i="18"/>
  <c r="A77" i="18"/>
  <c r="A78" i="18"/>
  <c r="A79" i="18"/>
  <c r="A80" i="18"/>
  <c r="A81" i="18"/>
  <c r="A82" i="18"/>
  <c r="A83" i="18"/>
  <c r="A84" i="18"/>
  <c r="A85" i="18"/>
  <c r="A86" i="18"/>
  <c r="A87" i="18"/>
  <c r="A88" i="18"/>
  <c r="A89" i="18"/>
  <c r="A90" i="18"/>
  <c r="A91" i="18"/>
  <c r="A92" i="18"/>
  <c r="A93" i="18"/>
  <c r="A94" i="18"/>
  <c r="A95" i="18"/>
  <c r="A96" i="18"/>
  <c r="A97" i="18"/>
  <c r="A98" i="18"/>
  <c r="A99" i="18"/>
  <c r="A100" i="18"/>
  <c r="A101" i="18"/>
  <c r="A103" i="18"/>
  <c r="A10" i="18"/>
  <c r="I32" i="22"/>
  <c r="P106" i="13"/>
  <c r="O106" i="13"/>
  <c r="N106" i="13"/>
  <c r="M106" i="13"/>
  <c r="L106" i="13"/>
  <c r="K106" i="13"/>
  <c r="J106" i="13"/>
  <c r="I106" i="13"/>
  <c r="H106" i="13"/>
  <c r="G106" i="13"/>
  <c r="F106" i="13"/>
  <c r="E106" i="13"/>
  <c r="I108" i="16"/>
  <c r="I108" i="13" s="1"/>
  <c r="I72" i="12"/>
  <c r="M72" i="7"/>
  <c r="H82" i="35"/>
  <c r="H84" i="23"/>
  <c r="J161" i="17" s="1"/>
  <c r="L84" i="16"/>
  <c r="K84" i="16"/>
  <c r="J84" i="16"/>
  <c r="H77" i="26"/>
  <c r="H74" i="35" s="1"/>
  <c r="G90" i="20"/>
  <c r="J156" i="17"/>
  <c r="J157" i="17"/>
  <c r="J158" i="17"/>
  <c r="J159" i="17"/>
  <c r="J160" i="17"/>
  <c r="H93" i="16"/>
  <c r="H81" i="35" l="1"/>
  <c r="D84" i="23"/>
  <c r="H108" i="18"/>
  <c r="H102" i="35"/>
  <c r="H110" i="35" s="1"/>
  <c r="G87" i="35"/>
  <c r="G102" i="35" s="1"/>
  <c r="D90" i="20"/>
  <c r="D105" i="20" s="1"/>
  <c r="E27" i="27"/>
  <c r="E24" i="35"/>
  <c r="F13" i="35"/>
  <c r="F16" i="27"/>
  <c r="F14" i="35"/>
  <c r="F17" i="27"/>
  <c r="F28" i="27" s="1"/>
  <c r="F20" i="27"/>
  <c r="F17" i="35"/>
  <c r="F18" i="35"/>
  <c r="F21" i="27"/>
  <c r="D21" i="27" s="1"/>
  <c r="F22" i="27"/>
  <c r="F19" i="35"/>
  <c r="I116" i="35"/>
  <c r="D127" i="13"/>
  <c r="D16" i="23"/>
  <c r="E16" i="27"/>
  <c r="E13" i="35"/>
  <c r="F24" i="35"/>
  <c r="F25" i="35" s="1"/>
  <c r="F27" i="27"/>
  <c r="E17" i="35"/>
  <c r="E20" i="27"/>
  <c r="E28" i="27" s="1"/>
  <c r="E21" i="27"/>
  <c r="E18" i="35"/>
  <c r="E19" i="35"/>
  <c r="E22" i="27"/>
  <c r="D22" i="27" s="1"/>
  <c r="I120" i="35"/>
  <c r="I114" i="18"/>
  <c r="K107" i="18"/>
  <c r="E14" i="35"/>
  <c r="E25" i="35" s="1"/>
  <c r="E17" i="27"/>
  <c r="G109" i="18"/>
  <c r="I110" i="18"/>
  <c r="K106" i="18"/>
  <c r="K108" i="18"/>
  <c r="H109" i="18"/>
  <c r="F109" i="18"/>
  <c r="K105" i="18"/>
  <c r="E109" i="18"/>
  <c r="K103" i="18"/>
  <c r="E104" i="18"/>
  <c r="L14" i="16"/>
  <c r="L14" i="13" s="1"/>
  <c r="F111" i="16"/>
  <c r="F111" i="13" s="1"/>
  <c r="E86" i="16"/>
  <c r="E86" i="13" s="1"/>
  <c r="P27" i="13"/>
  <c r="O27" i="13"/>
  <c r="N27" i="13"/>
  <c r="M27" i="13"/>
  <c r="L27" i="13"/>
  <c r="K27" i="13"/>
  <c r="J27" i="13"/>
  <c r="I27" i="13"/>
  <c r="H27" i="13"/>
  <c r="G27" i="13"/>
  <c r="F27" i="13"/>
  <c r="O26" i="13"/>
  <c r="N26" i="13"/>
  <c r="M26" i="13"/>
  <c r="L26" i="13"/>
  <c r="K26" i="13"/>
  <c r="J26" i="13"/>
  <c r="I26" i="13"/>
  <c r="I28" i="13" s="1"/>
  <c r="H26" i="13"/>
  <c r="G26" i="13"/>
  <c r="F26" i="13"/>
  <c r="P25" i="13"/>
  <c r="O25" i="13"/>
  <c r="N25" i="13"/>
  <c r="M25" i="13"/>
  <c r="L25" i="13"/>
  <c r="K25" i="13"/>
  <c r="J25" i="13"/>
  <c r="I25" i="13"/>
  <c r="H25" i="13"/>
  <c r="G25" i="13"/>
  <c r="F25" i="13"/>
  <c r="E25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P22" i="13"/>
  <c r="O22" i="13"/>
  <c r="N22" i="13"/>
  <c r="M22" i="13"/>
  <c r="L22" i="13"/>
  <c r="K22" i="13"/>
  <c r="J22" i="13"/>
  <c r="I22" i="13"/>
  <c r="H22" i="13"/>
  <c r="G22" i="13"/>
  <c r="F22" i="13"/>
  <c r="E22" i="13"/>
  <c r="P21" i="13"/>
  <c r="O21" i="13"/>
  <c r="N21" i="13"/>
  <c r="M21" i="13"/>
  <c r="L21" i="13"/>
  <c r="K21" i="13"/>
  <c r="J21" i="13"/>
  <c r="I21" i="13"/>
  <c r="H21" i="13"/>
  <c r="G21" i="13"/>
  <c r="F21" i="13"/>
  <c r="E21" i="13"/>
  <c r="P20" i="13"/>
  <c r="O20" i="13"/>
  <c r="N20" i="13"/>
  <c r="M20" i="13"/>
  <c r="L20" i="13"/>
  <c r="K20" i="13"/>
  <c r="J20" i="13"/>
  <c r="I20" i="13"/>
  <c r="H20" i="13"/>
  <c r="G20" i="13"/>
  <c r="F20" i="13"/>
  <c r="E20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P18" i="13"/>
  <c r="O18" i="13"/>
  <c r="N18" i="13"/>
  <c r="M18" i="13"/>
  <c r="L18" i="13"/>
  <c r="K18" i="13"/>
  <c r="J18" i="13"/>
  <c r="I18" i="13"/>
  <c r="H18" i="13"/>
  <c r="G18" i="13"/>
  <c r="F18" i="13"/>
  <c r="E18" i="13"/>
  <c r="O17" i="13"/>
  <c r="N17" i="13"/>
  <c r="M17" i="13"/>
  <c r="L17" i="13"/>
  <c r="K17" i="13"/>
  <c r="J17" i="13"/>
  <c r="I17" i="13"/>
  <c r="H17" i="13"/>
  <c r="G17" i="13"/>
  <c r="F17" i="13"/>
  <c r="E17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P14" i="13"/>
  <c r="O14" i="13"/>
  <c r="N14" i="13"/>
  <c r="M14" i="13"/>
  <c r="K14" i="13"/>
  <c r="J14" i="13"/>
  <c r="I14" i="13"/>
  <c r="G14" i="13"/>
  <c r="F14" i="13"/>
  <c r="E14" i="13"/>
  <c r="P13" i="13"/>
  <c r="O13" i="13"/>
  <c r="N13" i="13"/>
  <c r="N28" i="13" s="1"/>
  <c r="M13" i="13"/>
  <c r="L13" i="13"/>
  <c r="K13" i="13"/>
  <c r="J13" i="13"/>
  <c r="J28" i="13" s="1"/>
  <c r="I13" i="13"/>
  <c r="H13" i="13"/>
  <c r="G13" i="13"/>
  <c r="F13" i="13"/>
  <c r="D23" i="16"/>
  <c r="P17" i="7"/>
  <c r="P17" i="13" s="1"/>
  <c r="E13" i="7"/>
  <c r="E13" i="13" s="1"/>
  <c r="E27" i="7"/>
  <c r="E27" i="13" s="1"/>
  <c r="E26" i="7"/>
  <c r="E26" i="13" s="1"/>
  <c r="D17" i="7"/>
  <c r="D13" i="12"/>
  <c r="D40" i="12"/>
  <c r="F40" i="26" s="1"/>
  <c r="D159" i="12"/>
  <c r="D160" i="12" s="1"/>
  <c r="G184" i="17"/>
  <c r="G185" i="17"/>
  <c r="G186" i="17"/>
  <c r="G187" i="17"/>
  <c r="G188" i="17"/>
  <c r="G189" i="17"/>
  <c r="G190" i="17"/>
  <c r="G191" i="17"/>
  <c r="G192" i="17"/>
  <c r="G193" i="17"/>
  <c r="G183" i="17"/>
  <c r="G182" i="17"/>
  <c r="G181" i="17"/>
  <c r="G180" i="17"/>
  <c r="G179" i="17"/>
  <c r="F195" i="17"/>
  <c r="G105" i="26"/>
  <c r="C138" i="17" s="1"/>
  <c r="D113" i="13"/>
  <c r="F72" i="13"/>
  <c r="F105" i="13" s="1"/>
  <c r="G72" i="13"/>
  <c r="H72" i="13"/>
  <c r="I72" i="13"/>
  <c r="J72" i="13"/>
  <c r="K72" i="13"/>
  <c r="L72" i="13"/>
  <c r="M72" i="13"/>
  <c r="O72" i="13"/>
  <c r="P72" i="13"/>
  <c r="F68" i="13"/>
  <c r="H68" i="13"/>
  <c r="I68" i="13"/>
  <c r="J68" i="13"/>
  <c r="K68" i="13"/>
  <c r="L68" i="13"/>
  <c r="M68" i="13"/>
  <c r="O68" i="13"/>
  <c r="P68" i="13"/>
  <c r="F69" i="13"/>
  <c r="G69" i="13"/>
  <c r="H69" i="13"/>
  <c r="I69" i="13"/>
  <c r="J69" i="13"/>
  <c r="K69" i="13"/>
  <c r="K105" i="13" s="1"/>
  <c r="L69" i="13"/>
  <c r="M69" i="13"/>
  <c r="N69" i="13"/>
  <c r="O69" i="13"/>
  <c r="P69" i="13"/>
  <c r="F70" i="13"/>
  <c r="G70" i="13"/>
  <c r="H70" i="13"/>
  <c r="I70" i="13"/>
  <c r="J70" i="13"/>
  <c r="K70" i="13"/>
  <c r="L70" i="13"/>
  <c r="M70" i="13"/>
  <c r="N70" i="13"/>
  <c r="O70" i="13"/>
  <c r="P70" i="13"/>
  <c r="P105" i="13" s="1"/>
  <c r="F71" i="13"/>
  <c r="G71" i="13"/>
  <c r="H71" i="13"/>
  <c r="I71" i="13"/>
  <c r="J71" i="13"/>
  <c r="K71" i="13"/>
  <c r="L71" i="13"/>
  <c r="M71" i="13"/>
  <c r="N71" i="13"/>
  <c r="O71" i="13"/>
  <c r="P71" i="13"/>
  <c r="F73" i="13"/>
  <c r="G73" i="13"/>
  <c r="H73" i="13"/>
  <c r="I73" i="13"/>
  <c r="J73" i="13"/>
  <c r="K73" i="13"/>
  <c r="L73" i="13"/>
  <c r="M73" i="13"/>
  <c r="N73" i="13"/>
  <c r="O73" i="13"/>
  <c r="P73" i="13"/>
  <c r="F74" i="13"/>
  <c r="G74" i="13"/>
  <c r="H74" i="13"/>
  <c r="I74" i="13"/>
  <c r="J74" i="13"/>
  <c r="K74" i="13"/>
  <c r="L74" i="13"/>
  <c r="M74" i="13"/>
  <c r="N74" i="13"/>
  <c r="O74" i="13"/>
  <c r="P74" i="13"/>
  <c r="F75" i="13"/>
  <c r="G75" i="13"/>
  <c r="H75" i="13"/>
  <c r="I75" i="13"/>
  <c r="J75" i="13"/>
  <c r="K75" i="13"/>
  <c r="L75" i="13"/>
  <c r="M75" i="13"/>
  <c r="N75" i="13"/>
  <c r="O75" i="13"/>
  <c r="P75" i="13"/>
  <c r="F76" i="13"/>
  <c r="G76" i="13"/>
  <c r="H76" i="13"/>
  <c r="I76" i="13"/>
  <c r="J76" i="13"/>
  <c r="K76" i="13"/>
  <c r="L76" i="13"/>
  <c r="M76" i="13"/>
  <c r="N76" i="13"/>
  <c r="O76" i="13"/>
  <c r="P76" i="13"/>
  <c r="F77" i="13"/>
  <c r="G77" i="13"/>
  <c r="H77" i="13"/>
  <c r="I77" i="13"/>
  <c r="J77" i="13"/>
  <c r="K77" i="13"/>
  <c r="L77" i="13"/>
  <c r="M77" i="13"/>
  <c r="N77" i="13"/>
  <c r="O77" i="13"/>
  <c r="P77" i="13"/>
  <c r="F78" i="13"/>
  <c r="G78" i="13"/>
  <c r="H78" i="13"/>
  <c r="I78" i="13"/>
  <c r="J78" i="13"/>
  <c r="K78" i="13"/>
  <c r="L78" i="13"/>
  <c r="M78" i="13"/>
  <c r="N78" i="13"/>
  <c r="O78" i="13"/>
  <c r="P78" i="13"/>
  <c r="F79" i="13"/>
  <c r="G79" i="13"/>
  <c r="H79" i="13"/>
  <c r="I79" i="13"/>
  <c r="J79" i="13"/>
  <c r="K79" i="13"/>
  <c r="L79" i="13"/>
  <c r="M79" i="13"/>
  <c r="N79" i="13"/>
  <c r="O79" i="13"/>
  <c r="P79" i="13"/>
  <c r="F80" i="13"/>
  <c r="G80" i="13"/>
  <c r="H80" i="13"/>
  <c r="I80" i="13"/>
  <c r="J80" i="13"/>
  <c r="K80" i="13"/>
  <c r="L80" i="13"/>
  <c r="M80" i="13"/>
  <c r="N80" i="13"/>
  <c r="O80" i="13"/>
  <c r="P80" i="13"/>
  <c r="F81" i="13"/>
  <c r="G81" i="13"/>
  <c r="H81" i="13"/>
  <c r="I81" i="13"/>
  <c r="J81" i="13"/>
  <c r="K81" i="13"/>
  <c r="L81" i="13"/>
  <c r="M81" i="13"/>
  <c r="N81" i="13"/>
  <c r="O81" i="13"/>
  <c r="P81" i="13"/>
  <c r="F82" i="13"/>
  <c r="G82" i="13"/>
  <c r="H82" i="13"/>
  <c r="I82" i="13"/>
  <c r="J82" i="13"/>
  <c r="K82" i="13"/>
  <c r="L82" i="13"/>
  <c r="M82" i="13"/>
  <c r="N82" i="13"/>
  <c r="O82" i="13"/>
  <c r="P82" i="13"/>
  <c r="F83" i="13"/>
  <c r="G83" i="13"/>
  <c r="H83" i="13"/>
  <c r="I83" i="13"/>
  <c r="J83" i="13"/>
  <c r="K83" i="13"/>
  <c r="L83" i="13"/>
  <c r="M83" i="13"/>
  <c r="N83" i="13"/>
  <c r="O83" i="13"/>
  <c r="P83" i="13"/>
  <c r="F84" i="13"/>
  <c r="G84" i="13"/>
  <c r="H84" i="13"/>
  <c r="I84" i="13"/>
  <c r="J84" i="13"/>
  <c r="K84" i="13"/>
  <c r="L84" i="13"/>
  <c r="M84" i="13"/>
  <c r="N84" i="13"/>
  <c r="O84" i="13"/>
  <c r="P84" i="13"/>
  <c r="F85" i="13"/>
  <c r="G85" i="13"/>
  <c r="H85" i="13"/>
  <c r="I85" i="13"/>
  <c r="J85" i="13"/>
  <c r="K85" i="13"/>
  <c r="L85" i="13"/>
  <c r="M85" i="13"/>
  <c r="N85" i="13"/>
  <c r="O85" i="13"/>
  <c r="P85" i="13"/>
  <c r="F86" i="13"/>
  <c r="G86" i="13"/>
  <c r="H86" i="13"/>
  <c r="I86" i="13"/>
  <c r="J86" i="13"/>
  <c r="K86" i="13"/>
  <c r="L86" i="13"/>
  <c r="M86" i="13"/>
  <c r="N86" i="13"/>
  <c r="O86" i="13"/>
  <c r="P86" i="13"/>
  <c r="F87" i="13"/>
  <c r="G87" i="13"/>
  <c r="H87" i="13"/>
  <c r="I87" i="13"/>
  <c r="J87" i="13"/>
  <c r="K87" i="13"/>
  <c r="L87" i="13"/>
  <c r="M87" i="13"/>
  <c r="N87" i="13"/>
  <c r="O87" i="13"/>
  <c r="P87" i="13"/>
  <c r="F88" i="13"/>
  <c r="G88" i="13"/>
  <c r="H88" i="13"/>
  <c r="I88" i="13"/>
  <c r="J88" i="13"/>
  <c r="K88" i="13"/>
  <c r="L88" i="13"/>
  <c r="M88" i="13"/>
  <c r="N88" i="13"/>
  <c r="O88" i="13"/>
  <c r="P88" i="13"/>
  <c r="F89" i="13"/>
  <c r="G89" i="13"/>
  <c r="H89" i="13"/>
  <c r="I89" i="13"/>
  <c r="J89" i="13"/>
  <c r="K89" i="13"/>
  <c r="L89" i="13"/>
  <c r="M89" i="13"/>
  <c r="N89" i="13"/>
  <c r="O89" i="13"/>
  <c r="P89" i="13"/>
  <c r="F90" i="13"/>
  <c r="G90" i="13"/>
  <c r="H90" i="13"/>
  <c r="I90" i="13"/>
  <c r="J90" i="13"/>
  <c r="K90" i="13"/>
  <c r="L90" i="13"/>
  <c r="M90" i="13"/>
  <c r="N90" i="13"/>
  <c r="O90" i="13"/>
  <c r="P90" i="13"/>
  <c r="F91" i="13"/>
  <c r="G91" i="13"/>
  <c r="H91" i="13"/>
  <c r="I91" i="13"/>
  <c r="J91" i="13"/>
  <c r="K91" i="13"/>
  <c r="L91" i="13"/>
  <c r="M91" i="13"/>
  <c r="N91" i="13"/>
  <c r="O91" i="13"/>
  <c r="P91" i="13"/>
  <c r="F92" i="13"/>
  <c r="G92" i="13"/>
  <c r="H92" i="13"/>
  <c r="I92" i="13"/>
  <c r="J92" i="13"/>
  <c r="K92" i="13"/>
  <c r="L92" i="13"/>
  <c r="M92" i="13"/>
  <c r="N92" i="13"/>
  <c r="O92" i="13"/>
  <c r="P92" i="13"/>
  <c r="F93" i="13"/>
  <c r="G93" i="13"/>
  <c r="H93" i="13"/>
  <c r="I93" i="13"/>
  <c r="J93" i="13"/>
  <c r="K93" i="13"/>
  <c r="L93" i="13"/>
  <c r="M93" i="13"/>
  <c r="N93" i="13"/>
  <c r="O93" i="13"/>
  <c r="P93" i="13"/>
  <c r="F94" i="13"/>
  <c r="G94" i="13"/>
  <c r="H94" i="13"/>
  <c r="I94" i="13"/>
  <c r="J94" i="13"/>
  <c r="K94" i="13"/>
  <c r="L94" i="13"/>
  <c r="M94" i="13"/>
  <c r="N94" i="13"/>
  <c r="O94" i="13"/>
  <c r="P94" i="13"/>
  <c r="F95" i="13"/>
  <c r="G95" i="13"/>
  <c r="H95" i="13"/>
  <c r="I95" i="13"/>
  <c r="J95" i="13"/>
  <c r="K95" i="13"/>
  <c r="L95" i="13"/>
  <c r="M95" i="13"/>
  <c r="N95" i="13"/>
  <c r="O95" i="13"/>
  <c r="P95" i="13"/>
  <c r="F96" i="13"/>
  <c r="G96" i="13"/>
  <c r="H96" i="13"/>
  <c r="I96" i="13"/>
  <c r="J96" i="13"/>
  <c r="K96" i="13"/>
  <c r="L96" i="13"/>
  <c r="M96" i="13"/>
  <c r="N96" i="13"/>
  <c r="O96" i="13"/>
  <c r="P96" i="13"/>
  <c r="F97" i="13"/>
  <c r="G97" i="13"/>
  <c r="H97" i="13"/>
  <c r="I97" i="13"/>
  <c r="J97" i="13"/>
  <c r="K97" i="13"/>
  <c r="L97" i="13"/>
  <c r="M97" i="13"/>
  <c r="N97" i="13"/>
  <c r="O97" i="13"/>
  <c r="P97" i="13"/>
  <c r="F98" i="13"/>
  <c r="G98" i="13"/>
  <c r="H98" i="13"/>
  <c r="I98" i="13"/>
  <c r="J98" i="13"/>
  <c r="K98" i="13"/>
  <c r="L98" i="13"/>
  <c r="M98" i="13"/>
  <c r="N98" i="13"/>
  <c r="O98" i="13"/>
  <c r="P98" i="13"/>
  <c r="F99" i="13"/>
  <c r="G99" i="13"/>
  <c r="H99" i="13"/>
  <c r="I99" i="13"/>
  <c r="J99" i="13"/>
  <c r="K99" i="13"/>
  <c r="L99" i="13"/>
  <c r="M99" i="13"/>
  <c r="N99" i="13"/>
  <c r="O99" i="13"/>
  <c r="P99" i="13"/>
  <c r="F100" i="13"/>
  <c r="G100" i="13"/>
  <c r="H100" i="13"/>
  <c r="I100" i="13"/>
  <c r="J100" i="13"/>
  <c r="K100" i="13"/>
  <c r="L100" i="13"/>
  <c r="M100" i="13"/>
  <c r="N100" i="13"/>
  <c r="O100" i="13"/>
  <c r="P100" i="13"/>
  <c r="F101" i="13"/>
  <c r="G101" i="13"/>
  <c r="H101" i="13"/>
  <c r="I101" i="13"/>
  <c r="J101" i="13"/>
  <c r="K101" i="13"/>
  <c r="L101" i="13"/>
  <c r="M101" i="13"/>
  <c r="N101" i="13"/>
  <c r="O101" i="13"/>
  <c r="P101" i="13"/>
  <c r="F102" i="13"/>
  <c r="G102" i="13"/>
  <c r="H102" i="13"/>
  <c r="I102" i="13"/>
  <c r="J102" i="13"/>
  <c r="K102" i="13"/>
  <c r="L102" i="13"/>
  <c r="M102" i="13"/>
  <c r="N102" i="13"/>
  <c r="O102" i="13"/>
  <c r="P102" i="13"/>
  <c r="F103" i="13"/>
  <c r="G103" i="13"/>
  <c r="H103" i="13"/>
  <c r="I103" i="13"/>
  <c r="J103" i="13"/>
  <c r="K103" i="13"/>
  <c r="L103" i="13"/>
  <c r="M103" i="13"/>
  <c r="N103" i="13"/>
  <c r="O103" i="13"/>
  <c r="P103" i="13"/>
  <c r="F104" i="13"/>
  <c r="G104" i="13"/>
  <c r="H104" i="13"/>
  <c r="I104" i="13"/>
  <c r="J104" i="13"/>
  <c r="K104" i="13"/>
  <c r="L104" i="13"/>
  <c r="M104" i="13"/>
  <c r="N104" i="13"/>
  <c r="O104" i="13"/>
  <c r="P104" i="13"/>
  <c r="F29" i="13"/>
  <c r="F67" i="13" s="1"/>
  <c r="G29" i="13"/>
  <c r="H29" i="13"/>
  <c r="I29" i="13"/>
  <c r="J29" i="13"/>
  <c r="J67" i="13" s="1"/>
  <c r="K29" i="13"/>
  <c r="L29" i="13"/>
  <c r="M29" i="13"/>
  <c r="N29" i="13"/>
  <c r="O29" i="13"/>
  <c r="P29" i="13"/>
  <c r="F30" i="13"/>
  <c r="G30" i="13"/>
  <c r="H30" i="13"/>
  <c r="I30" i="13"/>
  <c r="J30" i="13"/>
  <c r="K30" i="13"/>
  <c r="K67" i="13" s="1"/>
  <c r="L30" i="13"/>
  <c r="M30" i="13"/>
  <c r="N30" i="13"/>
  <c r="O30" i="13"/>
  <c r="O67" i="13" s="1"/>
  <c r="P30" i="13"/>
  <c r="F31" i="13"/>
  <c r="G31" i="13"/>
  <c r="H31" i="13"/>
  <c r="I31" i="13"/>
  <c r="J31" i="13"/>
  <c r="K31" i="13"/>
  <c r="L31" i="13"/>
  <c r="M31" i="13"/>
  <c r="N31" i="13"/>
  <c r="O31" i="13"/>
  <c r="P31" i="13"/>
  <c r="F32" i="13"/>
  <c r="G32" i="13"/>
  <c r="H32" i="13"/>
  <c r="I32" i="13"/>
  <c r="J32" i="13"/>
  <c r="K32" i="13"/>
  <c r="L32" i="13"/>
  <c r="M32" i="13"/>
  <c r="N32" i="13"/>
  <c r="O32" i="13"/>
  <c r="P32" i="13"/>
  <c r="F33" i="13"/>
  <c r="G33" i="13"/>
  <c r="H33" i="13"/>
  <c r="I33" i="13"/>
  <c r="J33" i="13"/>
  <c r="K33" i="13"/>
  <c r="L33" i="13"/>
  <c r="M33" i="13"/>
  <c r="N33" i="13"/>
  <c r="O33" i="13"/>
  <c r="P33" i="13"/>
  <c r="F34" i="13"/>
  <c r="G34" i="13"/>
  <c r="H34" i="13"/>
  <c r="I34" i="13"/>
  <c r="J34" i="13"/>
  <c r="K34" i="13"/>
  <c r="L34" i="13"/>
  <c r="M34" i="13"/>
  <c r="N34" i="13"/>
  <c r="O34" i="13"/>
  <c r="P34" i="13"/>
  <c r="F35" i="13"/>
  <c r="G35" i="13"/>
  <c r="H35" i="13"/>
  <c r="I35" i="13"/>
  <c r="J35" i="13"/>
  <c r="K35" i="13"/>
  <c r="L35" i="13"/>
  <c r="M35" i="13"/>
  <c r="N35" i="13"/>
  <c r="O35" i="13"/>
  <c r="P35" i="13"/>
  <c r="F36" i="13"/>
  <c r="G36" i="13"/>
  <c r="H36" i="13"/>
  <c r="I36" i="13"/>
  <c r="J36" i="13"/>
  <c r="K36" i="13"/>
  <c r="L36" i="13"/>
  <c r="M36" i="13"/>
  <c r="N36" i="13"/>
  <c r="O36" i="13"/>
  <c r="P36" i="13"/>
  <c r="F37" i="13"/>
  <c r="G37" i="13"/>
  <c r="H37" i="13"/>
  <c r="I37" i="13"/>
  <c r="J37" i="13"/>
  <c r="K37" i="13"/>
  <c r="L37" i="13"/>
  <c r="M37" i="13"/>
  <c r="N37" i="13"/>
  <c r="O37" i="13"/>
  <c r="P37" i="13"/>
  <c r="F38" i="13"/>
  <c r="G38" i="13"/>
  <c r="H38" i="13"/>
  <c r="I38" i="13"/>
  <c r="J38" i="13"/>
  <c r="K38" i="13"/>
  <c r="L38" i="13"/>
  <c r="M38" i="13"/>
  <c r="N38" i="13"/>
  <c r="O38" i="13"/>
  <c r="P38" i="13"/>
  <c r="F39" i="13"/>
  <c r="G39" i="13"/>
  <c r="H39" i="13"/>
  <c r="I39" i="13"/>
  <c r="J39" i="13"/>
  <c r="K39" i="13"/>
  <c r="L39" i="13"/>
  <c r="M39" i="13"/>
  <c r="N39" i="13"/>
  <c r="O39" i="13"/>
  <c r="P39" i="13"/>
  <c r="F40" i="13"/>
  <c r="G40" i="13"/>
  <c r="H40" i="13"/>
  <c r="I40" i="13"/>
  <c r="J40" i="13"/>
  <c r="K40" i="13"/>
  <c r="L40" i="13"/>
  <c r="M40" i="13"/>
  <c r="N40" i="13"/>
  <c r="O40" i="13"/>
  <c r="P40" i="13"/>
  <c r="F41" i="13"/>
  <c r="G41" i="13"/>
  <c r="H41" i="13"/>
  <c r="I41" i="13"/>
  <c r="J41" i="13"/>
  <c r="K41" i="13"/>
  <c r="L41" i="13"/>
  <c r="M41" i="13"/>
  <c r="N41" i="13"/>
  <c r="O41" i="13"/>
  <c r="P41" i="13"/>
  <c r="F42" i="13"/>
  <c r="G42" i="13"/>
  <c r="H42" i="13"/>
  <c r="I42" i="13"/>
  <c r="J42" i="13"/>
  <c r="K42" i="13"/>
  <c r="L42" i="13"/>
  <c r="M42" i="13"/>
  <c r="N42" i="13"/>
  <c r="O42" i="13"/>
  <c r="P42" i="13"/>
  <c r="F43" i="13"/>
  <c r="G43" i="13"/>
  <c r="H43" i="13"/>
  <c r="I43" i="13"/>
  <c r="J43" i="13"/>
  <c r="K43" i="13"/>
  <c r="L43" i="13"/>
  <c r="M43" i="13"/>
  <c r="N43" i="13"/>
  <c r="O43" i="13"/>
  <c r="P43" i="13"/>
  <c r="F44" i="13"/>
  <c r="G44" i="13"/>
  <c r="H44" i="13"/>
  <c r="I44" i="13"/>
  <c r="J44" i="13"/>
  <c r="K44" i="13"/>
  <c r="L44" i="13"/>
  <c r="M44" i="13"/>
  <c r="N44" i="13"/>
  <c r="O44" i="13"/>
  <c r="P44" i="13"/>
  <c r="F45" i="13"/>
  <c r="G45" i="13"/>
  <c r="H45" i="13"/>
  <c r="I45" i="13"/>
  <c r="J45" i="13"/>
  <c r="K45" i="13"/>
  <c r="L45" i="13"/>
  <c r="M45" i="13"/>
  <c r="N45" i="13"/>
  <c r="O45" i="13"/>
  <c r="P45" i="13"/>
  <c r="F46" i="13"/>
  <c r="G46" i="13"/>
  <c r="H46" i="13"/>
  <c r="I46" i="13"/>
  <c r="J46" i="13"/>
  <c r="K46" i="13"/>
  <c r="L46" i="13"/>
  <c r="M46" i="13"/>
  <c r="N46" i="13"/>
  <c r="O46" i="13"/>
  <c r="P46" i="13"/>
  <c r="F47" i="13"/>
  <c r="G47" i="13"/>
  <c r="H47" i="13"/>
  <c r="I47" i="13"/>
  <c r="J47" i="13"/>
  <c r="K47" i="13"/>
  <c r="L47" i="13"/>
  <c r="M47" i="13"/>
  <c r="N47" i="13"/>
  <c r="O47" i="13"/>
  <c r="P47" i="13"/>
  <c r="F48" i="13"/>
  <c r="G48" i="13"/>
  <c r="H48" i="13"/>
  <c r="I48" i="13"/>
  <c r="J48" i="13"/>
  <c r="K48" i="13"/>
  <c r="L48" i="13"/>
  <c r="M48" i="13"/>
  <c r="N48" i="13"/>
  <c r="O48" i="13"/>
  <c r="P48" i="13"/>
  <c r="F49" i="13"/>
  <c r="G49" i="13"/>
  <c r="H49" i="13"/>
  <c r="I49" i="13"/>
  <c r="J49" i="13"/>
  <c r="K49" i="13"/>
  <c r="L49" i="13"/>
  <c r="M49" i="13"/>
  <c r="N49" i="13"/>
  <c r="O49" i="13"/>
  <c r="P49" i="13"/>
  <c r="F50" i="13"/>
  <c r="G50" i="13"/>
  <c r="H50" i="13"/>
  <c r="I50" i="13"/>
  <c r="J50" i="13"/>
  <c r="K50" i="13"/>
  <c r="L50" i="13"/>
  <c r="M50" i="13"/>
  <c r="N50" i="13"/>
  <c r="O50" i="13"/>
  <c r="P50" i="13"/>
  <c r="F51" i="13"/>
  <c r="G51" i="13"/>
  <c r="H51" i="13"/>
  <c r="I51" i="13"/>
  <c r="J51" i="13"/>
  <c r="K51" i="13"/>
  <c r="L51" i="13"/>
  <c r="M51" i="13"/>
  <c r="N51" i="13"/>
  <c r="O51" i="13"/>
  <c r="P51" i="13"/>
  <c r="F52" i="13"/>
  <c r="G52" i="13"/>
  <c r="H52" i="13"/>
  <c r="I52" i="13"/>
  <c r="J52" i="13"/>
  <c r="K52" i="13"/>
  <c r="L52" i="13"/>
  <c r="M52" i="13"/>
  <c r="N52" i="13"/>
  <c r="O52" i="13"/>
  <c r="P52" i="13"/>
  <c r="F53" i="13"/>
  <c r="G53" i="13"/>
  <c r="H53" i="13"/>
  <c r="I53" i="13"/>
  <c r="J53" i="13"/>
  <c r="K53" i="13"/>
  <c r="L53" i="13"/>
  <c r="M53" i="13"/>
  <c r="N53" i="13"/>
  <c r="O53" i="13"/>
  <c r="P53" i="13"/>
  <c r="F54" i="13"/>
  <c r="G54" i="13"/>
  <c r="H54" i="13"/>
  <c r="I54" i="13"/>
  <c r="J54" i="13"/>
  <c r="K54" i="13"/>
  <c r="L54" i="13"/>
  <c r="M54" i="13"/>
  <c r="N54" i="13"/>
  <c r="O54" i="13"/>
  <c r="P54" i="13"/>
  <c r="F55" i="13"/>
  <c r="G55" i="13"/>
  <c r="H55" i="13"/>
  <c r="I55" i="13"/>
  <c r="J55" i="13"/>
  <c r="K55" i="13"/>
  <c r="L55" i="13"/>
  <c r="M55" i="13"/>
  <c r="N55" i="13"/>
  <c r="O55" i="13"/>
  <c r="P55" i="13"/>
  <c r="F56" i="13"/>
  <c r="G56" i="13"/>
  <c r="H56" i="13"/>
  <c r="I56" i="13"/>
  <c r="J56" i="13"/>
  <c r="K56" i="13"/>
  <c r="L56" i="13"/>
  <c r="M56" i="13"/>
  <c r="N56" i="13"/>
  <c r="O56" i="13"/>
  <c r="P56" i="13"/>
  <c r="F57" i="13"/>
  <c r="G57" i="13"/>
  <c r="H57" i="13"/>
  <c r="I57" i="13"/>
  <c r="J57" i="13"/>
  <c r="K57" i="13"/>
  <c r="L57" i="13"/>
  <c r="M57" i="13"/>
  <c r="N57" i="13"/>
  <c r="O57" i="13"/>
  <c r="P57" i="13"/>
  <c r="F58" i="13"/>
  <c r="G58" i="13"/>
  <c r="H58" i="13"/>
  <c r="I58" i="13"/>
  <c r="J58" i="13"/>
  <c r="K58" i="13"/>
  <c r="L58" i="13"/>
  <c r="M58" i="13"/>
  <c r="N58" i="13"/>
  <c r="O58" i="13"/>
  <c r="P58" i="13"/>
  <c r="F59" i="13"/>
  <c r="G59" i="13"/>
  <c r="H59" i="13"/>
  <c r="I59" i="13"/>
  <c r="J59" i="13"/>
  <c r="K59" i="13"/>
  <c r="L59" i="13"/>
  <c r="M59" i="13"/>
  <c r="N59" i="13"/>
  <c r="O59" i="13"/>
  <c r="P59" i="13"/>
  <c r="F60" i="13"/>
  <c r="G60" i="13"/>
  <c r="H60" i="13"/>
  <c r="I60" i="13"/>
  <c r="J60" i="13"/>
  <c r="K60" i="13"/>
  <c r="L60" i="13"/>
  <c r="M60" i="13"/>
  <c r="N60" i="13"/>
  <c r="O60" i="13"/>
  <c r="P60" i="13"/>
  <c r="F61" i="13"/>
  <c r="G61" i="13"/>
  <c r="H61" i="13"/>
  <c r="I61" i="13"/>
  <c r="J61" i="13"/>
  <c r="K61" i="13"/>
  <c r="L61" i="13"/>
  <c r="M61" i="13"/>
  <c r="N61" i="13"/>
  <c r="O61" i="13"/>
  <c r="P61" i="13"/>
  <c r="F62" i="13"/>
  <c r="G62" i="13"/>
  <c r="H62" i="13"/>
  <c r="I62" i="13"/>
  <c r="J62" i="13"/>
  <c r="K62" i="13"/>
  <c r="L62" i="13"/>
  <c r="M62" i="13"/>
  <c r="N62" i="13"/>
  <c r="O62" i="13"/>
  <c r="P62" i="13"/>
  <c r="F63" i="13"/>
  <c r="G63" i="13"/>
  <c r="H63" i="13"/>
  <c r="I63" i="13"/>
  <c r="J63" i="13"/>
  <c r="K63" i="13"/>
  <c r="L63" i="13"/>
  <c r="M63" i="13"/>
  <c r="N63" i="13"/>
  <c r="O63" i="13"/>
  <c r="P63" i="13"/>
  <c r="G64" i="13"/>
  <c r="H64" i="13"/>
  <c r="I64" i="13"/>
  <c r="J64" i="13"/>
  <c r="K64" i="13"/>
  <c r="L64" i="13"/>
  <c r="M64" i="13"/>
  <c r="N64" i="13"/>
  <c r="O64" i="13"/>
  <c r="P64" i="13"/>
  <c r="F65" i="13"/>
  <c r="G65" i="13"/>
  <c r="H65" i="13"/>
  <c r="I65" i="13"/>
  <c r="J65" i="13"/>
  <c r="K65" i="13"/>
  <c r="L65" i="13"/>
  <c r="M65" i="13"/>
  <c r="N65" i="13"/>
  <c r="O65" i="13"/>
  <c r="P65" i="13"/>
  <c r="F66" i="13"/>
  <c r="G66" i="13"/>
  <c r="H66" i="13"/>
  <c r="I66" i="13"/>
  <c r="J66" i="13"/>
  <c r="K66" i="13"/>
  <c r="L66" i="13"/>
  <c r="M66" i="13"/>
  <c r="N66" i="13"/>
  <c r="O66" i="13"/>
  <c r="P66" i="13"/>
  <c r="H14" i="13"/>
  <c r="G67" i="24"/>
  <c r="F67" i="24"/>
  <c r="E67" i="24"/>
  <c r="J67" i="24" s="1"/>
  <c r="G67" i="19"/>
  <c r="F67" i="19"/>
  <c r="E67" i="19"/>
  <c r="F64" i="13"/>
  <c r="D111" i="26"/>
  <c r="D110" i="26"/>
  <c r="D109" i="26"/>
  <c r="H112" i="26"/>
  <c r="H67" i="19"/>
  <c r="H67" i="24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9" i="17"/>
  <c r="M30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M49" i="17"/>
  <c r="M50" i="17"/>
  <c r="M51" i="17"/>
  <c r="M52" i="17"/>
  <c r="M53" i="17"/>
  <c r="M54" i="17"/>
  <c r="M55" i="17"/>
  <c r="M56" i="17"/>
  <c r="M57" i="17"/>
  <c r="M58" i="17"/>
  <c r="M59" i="17"/>
  <c r="M60" i="17"/>
  <c r="M61" i="17"/>
  <c r="M62" i="17"/>
  <c r="M63" i="17"/>
  <c r="M64" i="17"/>
  <c r="M65" i="17"/>
  <c r="M66" i="17"/>
  <c r="M68" i="17"/>
  <c r="M69" i="17"/>
  <c r="M70" i="17"/>
  <c r="M71" i="17"/>
  <c r="M72" i="17"/>
  <c r="M73" i="17"/>
  <c r="M74" i="17"/>
  <c r="M75" i="17"/>
  <c r="M76" i="17"/>
  <c r="M77" i="17"/>
  <c r="M78" i="17"/>
  <c r="M79" i="17"/>
  <c r="M80" i="17"/>
  <c r="M81" i="17"/>
  <c r="M82" i="17"/>
  <c r="M83" i="17"/>
  <c r="M84" i="17"/>
  <c r="M85" i="17"/>
  <c r="M86" i="17"/>
  <c r="M87" i="17"/>
  <c r="M88" i="17"/>
  <c r="M89" i="17"/>
  <c r="M90" i="17"/>
  <c r="M91" i="17"/>
  <c r="M92" i="17"/>
  <c r="M93" i="17"/>
  <c r="M94" i="17"/>
  <c r="M95" i="17"/>
  <c r="M96" i="17"/>
  <c r="M97" i="17"/>
  <c r="M98" i="17"/>
  <c r="M99" i="17"/>
  <c r="M100" i="17"/>
  <c r="M101" i="17"/>
  <c r="M102" i="17"/>
  <c r="M103" i="17"/>
  <c r="M104" i="17"/>
  <c r="M106" i="17"/>
  <c r="M108" i="17"/>
  <c r="M110" i="17"/>
  <c r="M111" i="17"/>
  <c r="M113" i="17"/>
  <c r="M115" i="17"/>
  <c r="M116" i="17"/>
  <c r="M119" i="17"/>
  <c r="M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8" i="17"/>
  <c r="K49" i="17"/>
  <c r="K50" i="17"/>
  <c r="K51" i="17"/>
  <c r="K52" i="17"/>
  <c r="K53" i="17"/>
  <c r="K54" i="17"/>
  <c r="K55" i="17"/>
  <c r="K56" i="17"/>
  <c r="K57" i="17"/>
  <c r="K58" i="17"/>
  <c r="K59" i="17"/>
  <c r="K60" i="17"/>
  <c r="K61" i="17"/>
  <c r="K62" i="17"/>
  <c r="K63" i="17"/>
  <c r="K64" i="17"/>
  <c r="K65" i="17"/>
  <c r="K66" i="17"/>
  <c r="K67" i="17"/>
  <c r="K68" i="17"/>
  <c r="K69" i="17"/>
  <c r="K70" i="17"/>
  <c r="K71" i="17"/>
  <c r="K72" i="17"/>
  <c r="K73" i="17"/>
  <c r="K74" i="17"/>
  <c r="K75" i="17"/>
  <c r="K76" i="17"/>
  <c r="K77" i="17"/>
  <c r="K78" i="17"/>
  <c r="K79" i="17"/>
  <c r="K80" i="17"/>
  <c r="K81" i="17"/>
  <c r="K82" i="17"/>
  <c r="K83" i="17"/>
  <c r="K84" i="17"/>
  <c r="K85" i="17"/>
  <c r="K86" i="17"/>
  <c r="K87" i="17"/>
  <c r="K88" i="17"/>
  <c r="K89" i="17"/>
  <c r="K90" i="17"/>
  <c r="K91" i="17"/>
  <c r="K92" i="17"/>
  <c r="K93" i="17"/>
  <c r="K94" i="17"/>
  <c r="K95" i="17"/>
  <c r="K96" i="17"/>
  <c r="K97" i="17"/>
  <c r="K98" i="17"/>
  <c r="K99" i="17"/>
  <c r="K100" i="17"/>
  <c r="K101" i="17"/>
  <c r="K102" i="17"/>
  <c r="K103" i="17"/>
  <c r="K104" i="17"/>
  <c r="K105" i="17"/>
  <c r="K106" i="17"/>
  <c r="K107" i="17"/>
  <c r="K108" i="17"/>
  <c r="K109" i="17"/>
  <c r="K110" i="17"/>
  <c r="K111" i="17"/>
  <c r="K112" i="17"/>
  <c r="K113" i="17"/>
  <c r="K114" i="17"/>
  <c r="K115" i="17"/>
  <c r="K116" i="17"/>
  <c r="K117" i="17"/>
  <c r="K118" i="17"/>
  <c r="K119" i="17"/>
  <c r="K120" i="17"/>
  <c r="K121" i="17"/>
  <c r="K13" i="17"/>
  <c r="H116" i="27"/>
  <c r="H115" i="27"/>
  <c r="D115" i="27" s="1"/>
  <c r="H114" i="27"/>
  <c r="D114" i="27" s="1"/>
  <c r="H113" i="27"/>
  <c r="D113" i="27" s="1"/>
  <c r="H111" i="27"/>
  <c r="H110" i="27"/>
  <c r="D110" i="27" s="1"/>
  <c r="H109" i="27"/>
  <c r="D109" i="27" s="1"/>
  <c r="H108" i="27"/>
  <c r="H106" i="27"/>
  <c r="H104" i="27"/>
  <c r="H103" i="27"/>
  <c r="H102" i="27"/>
  <c r="H101" i="27"/>
  <c r="H100" i="27"/>
  <c r="H99" i="27"/>
  <c r="H98" i="27"/>
  <c r="H97" i="27"/>
  <c r="H96" i="27"/>
  <c r="H95" i="27"/>
  <c r="H94" i="27"/>
  <c r="H93" i="27"/>
  <c r="H92" i="27"/>
  <c r="H91" i="27"/>
  <c r="H90" i="27"/>
  <c r="H89" i="27"/>
  <c r="H88" i="27"/>
  <c r="H87" i="27"/>
  <c r="H86" i="27"/>
  <c r="H85" i="27"/>
  <c r="H84" i="27"/>
  <c r="H83" i="27"/>
  <c r="H82" i="27"/>
  <c r="H81" i="27"/>
  <c r="H80" i="27"/>
  <c r="H79" i="27"/>
  <c r="H78" i="27"/>
  <c r="H77" i="27"/>
  <c r="H76" i="27"/>
  <c r="H75" i="27"/>
  <c r="H74" i="27"/>
  <c r="H73" i="27"/>
  <c r="H72" i="27"/>
  <c r="H71" i="27"/>
  <c r="H70" i="27"/>
  <c r="H69" i="27"/>
  <c r="H68" i="27"/>
  <c r="H30" i="27"/>
  <c r="H31" i="27"/>
  <c r="H32" i="27"/>
  <c r="H33" i="27"/>
  <c r="H34" i="27"/>
  <c r="D34" i="27" s="1"/>
  <c r="H35" i="27"/>
  <c r="H36" i="27"/>
  <c r="H37" i="27"/>
  <c r="H38" i="27"/>
  <c r="H39" i="27"/>
  <c r="H40" i="27"/>
  <c r="H41" i="27"/>
  <c r="H42" i="27"/>
  <c r="D42" i="27" s="1"/>
  <c r="H43" i="27"/>
  <c r="H44" i="27"/>
  <c r="H45" i="27"/>
  <c r="H46" i="27"/>
  <c r="H47" i="27"/>
  <c r="H48" i="27"/>
  <c r="H49" i="27"/>
  <c r="H50" i="27"/>
  <c r="D50" i="27" s="1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29" i="27"/>
  <c r="D111" i="27"/>
  <c r="D111" i="21"/>
  <c r="D112" i="21" s="1"/>
  <c r="D110" i="21"/>
  <c r="D109" i="21"/>
  <c r="D108" i="21"/>
  <c r="D113" i="21"/>
  <c r="D117" i="21" s="1"/>
  <c r="D108" i="17"/>
  <c r="D109" i="17"/>
  <c r="D110" i="17"/>
  <c r="H112" i="17"/>
  <c r="D112" i="20"/>
  <c r="H112" i="20"/>
  <c r="H112" i="21"/>
  <c r="M112" i="17" s="1"/>
  <c r="E72" i="7"/>
  <c r="H109" i="16"/>
  <c r="G68" i="7"/>
  <c r="G68" i="13" s="1"/>
  <c r="H112" i="22"/>
  <c r="H121" i="22" s="1"/>
  <c r="K137" i="17" s="1"/>
  <c r="G112" i="22"/>
  <c r="F112" i="22"/>
  <c r="E112" i="22"/>
  <c r="D109" i="22"/>
  <c r="D110" i="22"/>
  <c r="D111" i="22"/>
  <c r="D109" i="24"/>
  <c r="D110" i="24"/>
  <c r="D111" i="24"/>
  <c r="D111" i="25"/>
  <c r="D110" i="25"/>
  <c r="D109" i="25"/>
  <c r="D112" i="25" s="1"/>
  <c r="G112" i="24"/>
  <c r="F112" i="24"/>
  <c r="E112" i="24"/>
  <c r="H112" i="24"/>
  <c r="F112" i="25"/>
  <c r="E112" i="25"/>
  <c r="G112" i="25"/>
  <c r="H67" i="26"/>
  <c r="G67" i="26"/>
  <c r="H67" i="25"/>
  <c r="G67" i="25"/>
  <c r="F67" i="25"/>
  <c r="J67" i="25" s="1"/>
  <c r="E67" i="25"/>
  <c r="G117" i="26"/>
  <c r="F117" i="26"/>
  <c r="E117" i="26"/>
  <c r="H117" i="26"/>
  <c r="H112" i="25"/>
  <c r="D111" i="17"/>
  <c r="D106" i="13"/>
  <c r="D107" i="13" s="1"/>
  <c r="D110" i="16"/>
  <c r="D108" i="16"/>
  <c r="D109" i="16"/>
  <c r="P112" i="16"/>
  <c r="P121" i="16" s="1"/>
  <c r="O112" i="16"/>
  <c r="N112" i="16"/>
  <c r="M112" i="16"/>
  <c r="L112" i="16"/>
  <c r="L121" i="16" s="1"/>
  <c r="K112" i="16"/>
  <c r="J112" i="16"/>
  <c r="I112" i="16"/>
  <c r="H112" i="16"/>
  <c r="H121" i="16" s="1"/>
  <c r="G112" i="16"/>
  <c r="E112" i="16"/>
  <c r="F112" i="16"/>
  <c r="D106" i="16"/>
  <c r="D107" i="16" s="1"/>
  <c r="M117" i="16"/>
  <c r="E69" i="27"/>
  <c r="F69" i="27"/>
  <c r="G69" i="27"/>
  <c r="E70" i="27"/>
  <c r="F70" i="27"/>
  <c r="G70" i="27"/>
  <c r="E71" i="27"/>
  <c r="F71" i="27"/>
  <c r="G71" i="27"/>
  <c r="E72" i="27"/>
  <c r="F72" i="27"/>
  <c r="D72" i="27" s="1"/>
  <c r="G72" i="27"/>
  <c r="E73" i="27"/>
  <c r="F73" i="27"/>
  <c r="G73" i="27"/>
  <c r="E74" i="27"/>
  <c r="F74" i="27"/>
  <c r="G74" i="27"/>
  <c r="E75" i="27"/>
  <c r="F75" i="27"/>
  <c r="G75" i="27"/>
  <c r="E76" i="27"/>
  <c r="F76" i="27"/>
  <c r="D76" i="27" s="1"/>
  <c r="G76" i="27"/>
  <c r="E77" i="27"/>
  <c r="F77" i="27"/>
  <c r="G77" i="27"/>
  <c r="E78" i="27"/>
  <c r="F78" i="27"/>
  <c r="G78" i="27"/>
  <c r="E79" i="27"/>
  <c r="F79" i="27"/>
  <c r="G79" i="27"/>
  <c r="E80" i="27"/>
  <c r="F80" i="27"/>
  <c r="D80" i="27" s="1"/>
  <c r="G80" i="27"/>
  <c r="E81" i="27"/>
  <c r="F81" i="27"/>
  <c r="G81" i="27"/>
  <c r="E82" i="27"/>
  <c r="F82" i="27"/>
  <c r="G82" i="27"/>
  <c r="E83" i="27"/>
  <c r="F83" i="27"/>
  <c r="G83" i="27"/>
  <c r="E84" i="27"/>
  <c r="F84" i="27"/>
  <c r="D84" i="27" s="1"/>
  <c r="G84" i="27"/>
  <c r="E85" i="27"/>
  <c r="F85" i="27"/>
  <c r="G85" i="27"/>
  <c r="E86" i="27"/>
  <c r="F86" i="27"/>
  <c r="G86" i="27"/>
  <c r="E87" i="27"/>
  <c r="F87" i="27"/>
  <c r="G87" i="27"/>
  <c r="E88" i="27"/>
  <c r="F88" i="27"/>
  <c r="D88" i="27" s="1"/>
  <c r="G88" i="27"/>
  <c r="E89" i="27"/>
  <c r="F89" i="27"/>
  <c r="G89" i="27"/>
  <c r="E90" i="27"/>
  <c r="F90" i="27"/>
  <c r="G90" i="27"/>
  <c r="E91" i="27"/>
  <c r="F91" i="27"/>
  <c r="G91" i="27"/>
  <c r="E92" i="27"/>
  <c r="F92" i="27"/>
  <c r="D92" i="27" s="1"/>
  <c r="G92" i="27"/>
  <c r="E93" i="27"/>
  <c r="F93" i="27"/>
  <c r="G93" i="27"/>
  <c r="E94" i="27"/>
  <c r="F94" i="27"/>
  <c r="G94" i="27"/>
  <c r="E95" i="27"/>
  <c r="F95" i="27"/>
  <c r="G95" i="27"/>
  <c r="E96" i="27"/>
  <c r="F96" i="27"/>
  <c r="D96" i="27" s="1"/>
  <c r="G96" i="27"/>
  <c r="E97" i="27"/>
  <c r="F97" i="27"/>
  <c r="G97" i="27"/>
  <c r="E98" i="27"/>
  <c r="F98" i="27"/>
  <c r="G98" i="27"/>
  <c r="E99" i="27"/>
  <c r="F99" i="27"/>
  <c r="G99" i="27"/>
  <c r="E100" i="27"/>
  <c r="F100" i="27"/>
  <c r="D100" i="27" s="1"/>
  <c r="G100" i="27"/>
  <c r="E101" i="27"/>
  <c r="F101" i="27"/>
  <c r="G101" i="27"/>
  <c r="E102" i="27"/>
  <c r="F102" i="27"/>
  <c r="G102" i="27"/>
  <c r="E103" i="27"/>
  <c r="D103" i="27" s="1"/>
  <c r="F103" i="27"/>
  <c r="G103" i="27"/>
  <c r="E104" i="27"/>
  <c r="F104" i="27"/>
  <c r="G104" i="27"/>
  <c r="F68" i="27"/>
  <c r="G68" i="27"/>
  <c r="E68" i="27"/>
  <c r="E105" i="27" s="1"/>
  <c r="F30" i="27"/>
  <c r="G30" i="27"/>
  <c r="F31" i="27"/>
  <c r="G31" i="27"/>
  <c r="F32" i="27"/>
  <c r="G32" i="27"/>
  <c r="F33" i="27"/>
  <c r="G33" i="27"/>
  <c r="F34" i="27"/>
  <c r="G34" i="27"/>
  <c r="F35" i="27"/>
  <c r="G35" i="27"/>
  <c r="F36" i="27"/>
  <c r="G36" i="27"/>
  <c r="F37" i="27"/>
  <c r="G37" i="27"/>
  <c r="F38" i="27"/>
  <c r="G38" i="27"/>
  <c r="F39" i="27"/>
  <c r="G39" i="27"/>
  <c r="F40" i="27"/>
  <c r="G40" i="27"/>
  <c r="F41" i="27"/>
  <c r="G41" i="27"/>
  <c r="F42" i="27"/>
  <c r="G42" i="27"/>
  <c r="F43" i="27"/>
  <c r="G43" i="27"/>
  <c r="F44" i="27"/>
  <c r="G44" i="27"/>
  <c r="F45" i="27"/>
  <c r="G45" i="27"/>
  <c r="F46" i="27"/>
  <c r="G46" i="27"/>
  <c r="F47" i="27"/>
  <c r="G47" i="27"/>
  <c r="F48" i="27"/>
  <c r="G48" i="27"/>
  <c r="F49" i="27"/>
  <c r="G49" i="27"/>
  <c r="F50" i="27"/>
  <c r="G50" i="27"/>
  <c r="F51" i="27"/>
  <c r="G51" i="27"/>
  <c r="F52" i="27"/>
  <c r="G52" i="27"/>
  <c r="F53" i="27"/>
  <c r="G53" i="27"/>
  <c r="F54" i="27"/>
  <c r="G54" i="27"/>
  <c r="F55" i="27"/>
  <c r="G55" i="27"/>
  <c r="F56" i="27"/>
  <c r="G56" i="27"/>
  <c r="F57" i="27"/>
  <c r="G57" i="27"/>
  <c r="F58" i="27"/>
  <c r="G58" i="27"/>
  <c r="F59" i="27"/>
  <c r="G59" i="27"/>
  <c r="F60" i="27"/>
  <c r="G60" i="27"/>
  <c r="F61" i="27"/>
  <c r="G61" i="27"/>
  <c r="F62" i="27"/>
  <c r="G62" i="27"/>
  <c r="F63" i="27"/>
  <c r="G63" i="27"/>
  <c r="F64" i="27"/>
  <c r="G64" i="27"/>
  <c r="F65" i="27"/>
  <c r="G65" i="27"/>
  <c r="F66" i="27"/>
  <c r="G66" i="27"/>
  <c r="E30" i="27"/>
  <c r="E31" i="27"/>
  <c r="D31" i="27" s="1"/>
  <c r="E32" i="27"/>
  <c r="E33" i="27"/>
  <c r="E34" i="27"/>
  <c r="E35" i="27"/>
  <c r="D35" i="27" s="1"/>
  <c r="E36" i="27"/>
  <c r="E37" i="27"/>
  <c r="E38" i="27"/>
  <c r="E39" i="27"/>
  <c r="D39" i="27" s="1"/>
  <c r="E40" i="27"/>
  <c r="E41" i="27"/>
  <c r="E42" i="27"/>
  <c r="E43" i="27"/>
  <c r="D43" i="27" s="1"/>
  <c r="E44" i="27"/>
  <c r="E45" i="27"/>
  <c r="E46" i="27"/>
  <c r="E47" i="27"/>
  <c r="D47" i="27" s="1"/>
  <c r="E48" i="27"/>
  <c r="E49" i="27"/>
  <c r="E50" i="27"/>
  <c r="E51" i="27"/>
  <c r="D51" i="27" s="1"/>
  <c r="E52" i="27"/>
  <c r="E53" i="27"/>
  <c r="E54" i="27"/>
  <c r="E55" i="27"/>
  <c r="D55" i="27" s="1"/>
  <c r="E56" i="27"/>
  <c r="E57" i="27"/>
  <c r="E58" i="27"/>
  <c r="E59" i="27"/>
  <c r="D59" i="27" s="1"/>
  <c r="E60" i="27"/>
  <c r="E61" i="27"/>
  <c r="E62" i="27"/>
  <c r="E63" i="27"/>
  <c r="D63" i="27" s="1"/>
  <c r="E64" i="27"/>
  <c r="E65" i="27"/>
  <c r="E66" i="27"/>
  <c r="G29" i="27"/>
  <c r="G67" i="27" s="1"/>
  <c r="F29" i="27"/>
  <c r="H120" i="27"/>
  <c r="G120" i="27"/>
  <c r="F120" i="27"/>
  <c r="E120" i="27"/>
  <c r="D119" i="27"/>
  <c r="D118" i="27"/>
  <c r="D120" i="27"/>
  <c r="H117" i="27"/>
  <c r="G117" i="27"/>
  <c r="F117" i="27"/>
  <c r="E117" i="27"/>
  <c r="D116" i="27"/>
  <c r="G112" i="27"/>
  <c r="F112" i="27"/>
  <c r="E112" i="27"/>
  <c r="D108" i="27"/>
  <c r="H107" i="27"/>
  <c r="G107" i="27"/>
  <c r="F107" i="27"/>
  <c r="E107" i="27"/>
  <c r="D106" i="27"/>
  <c r="D107" i="27" s="1"/>
  <c r="G105" i="27"/>
  <c r="D102" i="27"/>
  <c r="D98" i="27"/>
  <c r="D94" i="27"/>
  <c r="D90" i="27"/>
  <c r="D86" i="27"/>
  <c r="D82" i="27"/>
  <c r="D78" i="27"/>
  <c r="D74" i="27"/>
  <c r="D70" i="27"/>
  <c r="F67" i="27"/>
  <c r="D64" i="27"/>
  <c r="D60" i="27"/>
  <c r="D56" i="27"/>
  <c r="D54" i="27"/>
  <c r="D52" i="27"/>
  <c r="D48" i="27"/>
  <c r="D46" i="27"/>
  <c r="D44" i="27"/>
  <c r="D40" i="27"/>
  <c r="D38" i="27"/>
  <c r="D36" i="27"/>
  <c r="H28" i="27"/>
  <c r="G28" i="27"/>
  <c r="D27" i="27"/>
  <c r="D26" i="27"/>
  <c r="D25" i="27"/>
  <c r="D24" i="27"/>
  <c r="D23" i="27"/>
  <c r="D19" i="27"/>
  <c r="D18" i="27"/>
  <c r="D16" i="27"/>
  <c r="D15" i="27"/>
  <c r="D14" i="27"/>
  <c r="D13" i="27"/>
  <c r="D96" i="25"/>
  <c r="D97" i="25"/>
  <c r="D98" i="25"/>
  <c r="D99" i="25"/>
  <c r="D100" i="25"/>
  <c r="D101" i="25"/>
  <c r="D102" i="25"/>
  <c r="D103" i="25"/>
  <c r="D104" i="25"/>
  <c r="D96" i="24"/>
  <c r="D97" i="24"/>
  <c r="D98" i="24"/>
  <c r="D99" i="24"/>
  <c r="D100" i="24"/>
  <c r="D101" i="24"/>
  <c r="D102" i="24"/>
  <c r="D103" i="24"/>
  <c r="G65" i="18"/>
  <c r="H65" i="18"/>
  <c r="G66" i="18"/>
  <c r="H66" i="18"/>
  <c r="G67" i="18"/>
  <c r="H67" i="18"/>
  <c r="G68" i="18"/>
  <c r="H68" i="18"/>
  <c r="G69" i="18"/>
  <c r="H69" i="18"/>
  <c r="E70" i="18"/>
  <c r="G70" i="18"/>
  <c r="H70" i="18"/>
  <c r="G71" i="18"/>
  <c r="H71" i="18"/>
  <c r="G72" i="18"/>
  <c r="H72" i="18"/>
  <c r="G73" i="18"/>
  <c r="H73" i="18"/>
  <c r="G74" i="18"/>
  <c r="H74" i="18"/>
  <c r="G75" i="18"/>
  <c r="H75" i="18"/>
  <c r="G76" i="18"/>
  <c r="H76" i="18"/>
  <c r="F77" i="18"/>
  <c r="G77" i="18"/>
  <c r="H77" i="18"/>
  <c r="G78" i="18"/>
  <c r="H78" i="18"/>
  <c r="G79" i="18"/>
  <c r="H79" i="18"/>
  <c r="G80" i="18"/>
  <c r="H80" i="18"/>
  <c r="G81" i="18"/>
  <c r="H81" i="18"/>
  <c r="G82" i="18"/>
  <c r="H82" i="18"/>
  <c r="G83" i="18"/>
  <c r="H83" i="18"/>
  <c r="G84" i="18"/>
  <c r="H84" i="18"/>
  <c r="G85" i="18"/>
  <c r="H85" i="18"/>
  <c r="G86" i="18"/>
  <c r="H86" i="18"/>
  <c r="H87" i="18"/>
  <c r="H88" i="18"/>
  <c r="H89" i="18"/>
  <c r="H90" i="18"/>
  <c r="H91" i="18"/>
  <c r="H92" i="18"/>
  <c r="H93" i="18"/>
  <c r="G94" i="18"/>
  <c r="H94" i="18"/>
  <c r="H95" i="18"/>
  <c r="H96" i="18"/>
  <c r="H97" i="18"/>
  <c r="H98" i="18"/>
  <c r="H99" i="18"/>
  <c r="H100" i="18"/>
  <c r="H101" i="18"/>
  <c r="G26" i="18"/>
  <c r="H26" i="18"/>
  <c r="G27" i="18"/>
  <c r="H27" i="18"/>
  <c r="G28" i="18"/>
  <c r="H28" i="18"/>
  <c r="G29" i="18"/>
  <c r="H29" i="18"/>
  <c r="G30" i="18"/>
  <c r="H30" i="18"/>
  <c r="G31" i="18"/>
  <c r="H31" i="18"/>
  <c r="E32" i="18"/>
  <c r="F32" i="18"/>
  <c r="G32" i="18"/>
  <c r="H32" i="18"/>
  <c r="G33" i="18"/>
  <c r="H33" i="18"/>
  <c r="G34" i="18"/>
  <c r="H34" i="18"/>
  <c r="G35" i="18"/>
  <c r="H35" i="18"/>
  <c r="G36" i="18"/>
  <c r="H36" i="18"/>
  <c r="G37" i="18"/>
  <c r="H37" i="18"/>
  <c r="G38" i="18"/>
  <c r="H38" i="18"/>
  <c r="G39" i="18"/>
  <c r="H39" i="18"/>
  <c r="G40" i="18"/>
  <c r="H40" i="18"/>
  <c r="G41" i="18"/>
  <c r="H41" i="18"/>
  <c r="G42" i="18"/>
  <c r="H42" i="18"/>
  <c r="G43" i="18"/>
  <c r="H43" i="18"/>
  <c r="G44" i="18"/>
  <c r="H44" i="18"/>
  <c r="G45" i="18"/>
  <c r="H45" i="18"/>
  <c r="G46" i="18"/>
  <c r="H46" i="18"/>
  <c r="G47" i="18"/>
  <c r="H47" i="18"/>
  <c r="E48" i="18"/>
  <c r="F48" i="18"/>
  <c r="G48" i="18"/>
  <c r="H48" i="18"/>
  <c r="E49" i="18"/>
  <c r="F49" i="18"/>
  <c r="G49" i="18"/>
  <c r="H49" i="18"/>
  <c r="G50" i="18"/>
  <c r="H50" i="18"/>
  <c r="G51" i="18"/>
  <c r="H51" i="18"/>
  <c r="G52" i="18"/>
  <c r="H52" i="18"/>
  <c r="G53" i="18"/>
  <c r="H53" i="18"/>
  <c r="G54" i="18"/>
  <c r="H54" i="18"/>
  <c r="G55" i="18"/>
  <c r="H55" i="18"/>
  <c r="G56" i="18"/>
  <c r="H56" i="18"/>
  <c r="G57" i="18"/>
  <c r="H57" i="18"/>
  <c r="G58" i="18"/>
  <c r="H58" i="18"/>
  <c r="G59" i="18"/>
  <c r="H59" i="18"/>
  <c r="G60" i="18"/>
  <c r="H60" i="18"/>
  <c r="G61" i="18"/>
  <c r="H61" i="18"/>
  <c r="G62" i="18"/>
  <c r="H62" i="18"/>
  <c r="G63" i="18"/>
  <c r="H63" i="18"/>
  <c r="G21" i="18"/>
  <c r="H21" i="18"/>
  <c r="G22" i="18"/>
  <c r="H22" i="18"/>
  <c r="G23" i="18"/>
  <c r="H23" i="18"/>
  <c r="G24" i="18"/>
  <c r="H24" i="18"/>
  <c r="G11" i="18"/>
  <c r="H11" i="18"/>
  <c r="G12" i="18"/>
  <c r="H12" i="18"/>
  <c r="G13" i="18"/>
  <c r="H13" i="18"/>
  <c r="G14" i="18"/>
  <c r="H14" i="18"/>
  <c r="G15" i="18"/>
  <c r="H15" i="18"/>
  <c r="G16" i="18"/>
  <c r="H16" i="18"/>
  <c r="G17" i="18"/>
  <c r="H17" i="18"/>
  <c r="G18" i="18"/>
  <c r="H18" i="18"/>
  <c r="G19" i="18"/>
  <c r="H19" i="18"/>
  <c r="G20" i="18"/>
  <c r="H20" i="18"/>
  <c r="H10" i="18"/>
  <c r="G10" i="18"/>
  <c r="H120" i="26"/>
  <c r="G120" i="26"/>
  <c r="F120" i="26"/>
  <c r="E120" i="26"/>
  <c r="D119" i="26"/>
  <c r="D118" i="26"/>
  <c r="D120" i="26" s="1"/>
  <c r="D116" i="26"/>
  <c r="D117" i="26" s="1"/>
  <c r="D115" i="26"/>
  <c r="D114" i="26"/>
  <c r="D113" i="26"/>
  <c r="G112" i="26"/>
  <c r="G121" i="26" s="1"/>
  <c r="F112" i="26"/>
  <c r="E112" i="26"/>
  <c r="D108" i="26"/>
  <c r="D112" i="26" s="1"/>
  <c r="H107" i="26"/>
  <c r="G107" i="26"/>
  <c r="F107" i="26"/>
  <c r="E107" i="26"/>
  <c r="D106" i="26"/>
  <c r="D107" i="26" s="1"/>
  <c r="H105" i="26"/>
  <c r="D52" i="26"/>
  <c r="D51" i="26"/>
  <c r="D35" i="26"/>
  <c r="H28" i="26"/>
  <c r="G28" i="26"/>
  <c r="H120" i="25"/>
  <c r="G120" i="25"/>
  <c r="G121" i="25" s="1"/>
  <c r="F120" i="25"/>
  <c r="E120" i="25"/>
  <c r="D119" i="25"/>
  <c r="D118" i="25"/>
  <c r="D120" i="25" s="1"/>
  <c r="H117" i="25"/>
  <c r="G117" i="25"/>
  <c r="F117" i="25"/>
  <c r="F121" i="25" s="1"/>
  <c r="E117" i="25"/>
  <c r="D116" i="25"/>
  <c r="D115" i="25"/>
  <c r="D114" i="25"/>
  <c r="D113" i="25"/>
  <c r="D108" i="25"/>
  <c r="H107" i="25"/>
  <c r="G107" i="25"/>
  <c r="F107" i="25"/>
  <c r="E107" i="25"/>
  <c r="D106" i="25"/>
  <c r="D107" i="25"/>
  <c r="H105" i="25"/>
  <c r="G105" i="25"/>
  <c r="C137" i="17" s="1"/>
  <c r="F105" i="25"/>
  <c r="E105" i="25"/>
  <c r="D95" i="25"/>
  <c r="D94" i="25"/>
  <c r="D93" i="25"/>
  <c r="D92" i="25"/>
  <c r="D91" i="25"/>
  <c r="D90" i="25"/>
  <c r="D89" i="25"/>
  <c r="D88" i="25"/>
  <c r="D87" i="25"/>
  <c r="D86" i="25"/>
  <c r="D85" i="25"/>
  <c r="D83" i="25"/>
  <c r="D82" i="25"/>
  <c r="D81" i="25"/>
  <c r="D80" i="25"/>
  <c r="D79" i="25"/>
  <c r="D78" i="25"/>
  <c r="D77" i="25"/>
  <c r="D76" i="25"/>
  <c r="D75" i="25"/>
  <c r="D74" i="25"/>
  <c r="D73" i="25"/>
  <c r="D72" i="25"/>
  <c r="D71" i="25"/>
  <c r="D70" i="25"/>
  <c r="D69" i="25"/>
  <c r="D68" i="25"/>
  <c r="D105" i="25"/>
  <c r="D66" i="25"/>
  <c r="D65" i="25"/>
  <c r="D64" i="25"/>
  <c r="D63" i="25"/>
  <c r="D62" i="25"/>
  <c r="D61" i="25"/>
  <c r="D60" i="25"/>
  <c r="D59" i="25"/>
  <c r="D58" i="25"/>
  <c r="D57" i="25"/>
  <c r="D56" i="25"/>
  <c r="D55" i="25"/>
  <c r="D54" i="25"/>
  <c r="D53" i="25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67" i="25"/>
  <c r="H28" i="25"/>
  <c r="G28" i="25"/>
  <c r="F28" i="25"/>
  <c r="E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H117" i="24"/>
  <c r="H118" i="24" s="1"/>
  <c r="K144" i="17" s="1"/>
  <c r="G117" i="24"/>
  <c r="F117" i="24"/>
  <c r="E117" i="24"/>
  <c r="D116" i="24"/>
  <c r="D117" i="24" s="1"/>
  <c r="D115" i="24"/>
  <c r="D113" i="24"/>
  <c r="D108" i="24"/>
  <c r="H107" i="24"/>
  <c r="G107" i="24"/>
  <c r="F107" i="24"/>
  <c r="E107" i="24"/>
  <c r="D106" i="24"/>
  <c r="D107" i="24" s="1"/>
  <c r="H105" i="24"/>
  <c r="G105" i="24"/>
  <c r="C136" i="17" s="1"/>
  <c r="F105" i="24"/>
  <c r="E105" i="24"/>
  <c r="D104" i="24"/>
  <c r="D95" i="24"/>
  <c r="D94" i="24"/>
  <c r="D93" i="24"/>
  <c r="D92" i="24"/>
  <c r="D91" i="24"/>
  <c r="D90" i="24"/>
  <c r="D89" i="24"/>
  <c r="D88" i="24"/>
  <c r="D87" i="24"/>
  <c r="D86" i="24"/>
  <c r="D85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69" i="24"/>
  <c r="D68" i="24"/>
  <c r="D105" i="24" s="1"/>
  <c r="D66" i="24"/>
  <c r="D65" i="24"/>
  <c r="D64" i="24"/>
  <c r="D63" i="24"/>
  <c r="D62" i="24"/>
  <c r="D61" i="24"/>
  <c r="D60" i="24"/>
  <c r="D59" i="24"/>
  <c r="D58" i="24"/>
  <c r="D57" i="24"/>
  <c r="D56" i="24"/>
  <c r="D55" i="24"/>
  <c r="D54" i="24"/>
  <c r="D53" i="24"/>
  <c r="D52" i="24"/>
  <c r="D51" i="24"/>
  <c r="D50" i="24"/>
  <c r="D49" i="24"/>
  <c r="D48" i="24"/>
  <c r="D47" i="24"/>
  <c r="D46" i="24"/>
  <c r="D45" i="24"/>
  <c r="D44" i="24"/>
  <c r="D43" i="24"/>
  <c r="D42" i="24"/>
  <c r="D41" i="24"/>
  <c r="D40" i="24"/>
  <c r="D39" i="24"/>
  <c r="D38" i="24"/>
  <c r="D37" i="24"/>
  <c r="D36" i="24"/>
  <c r="D35" i="24"/>
  <c r="D34" i="24"/>
  <c r="D33" i="24"/>
  <c r="D32" i="24"/>
  <c r="D31" i="24"/>
  <c r="D30" i="24"/>
  <c r="D29" i="24"/>
  <c r="D67" i="24"/>
  <c r="H28" i="24"/>
  <c r="G28" i="24"/>
  <c r="F28" i="24"/>
  <c r="E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28" i="24" s="1"/>
  <c r="D15" i="24"/>
  <c r="D14" i="24"/>
  <c r="D13" i="24"/>
  <c r="E29" i="23"/>
  <c r="E67" i="23" s="1"/>
  <c r="E29" i="21"/>
  <c r="E29" i="20"/>
  <c r="D29" i="20" s="1"/>
  <c r="E29" i="17"/>
  <c r="H120" i="23"/>
  <c r="H121" i="23" s="1"/>
  <c r="K138" i="17" s="1"/>
  <c r="G120" i="23"/>
  <c r="F120" i="23"/>
  <c r="E120" i="23"/>
  <c r="D119" i="23"/>
  <c r="D118" i="23"/>
  <c r="D120" i="23" s="1"/>
  <c r="H117" i="23"/>
  <c r="G117" i="23"/>
  <c r="G121" i="23" s="1"/>
  <c r="F117" i="23"/>
  <c r="E117" i="23"/>
  <c r="D116" i="23"/>
  <c r="D115" i="23"/>
  <c r="D114" i="23"/>
  <c r="D113" i="23"/>
  <c r="H112" i="23"/>
  <c r="G112" i="23"/>
  <c r="F112" i="23"/>
  <c r="E112" i="23"/>
  <c r="D111" i="23"/>
  <c r="D112" i="23" s="1"/>
  <c r="H107" i="23"/>
  <c r="G107" i="23"/>
  <c r="F107" i="23"/>
  <c r="E107" i="23"/>
  <c r="D107" i="23"/>
  <c r="D106" i="23"/>
  <c r="H105" i="23"/>
  <c r="D104" i="23"/>
  <c r="D103" i="23"/>
  <c r="D102" i="23"/>
  <c r="D101" i="23"/>
  <c r="D100" i="23"/>
  <c r="G105" i="23"/>
  <c r="C134" i="17" s="1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F105" i="23"/>
  <c r="E105" i="23"/>
  <c r="D69" i="23"/>
  <c r="D68" i="23"/>
  <c r="G67" i="23"/>
  <c r="D66" i="23"/>
  <c r="D65" i="23"/>
  <c r="D64" i="23"/>
  <c r="F67" i="23"/>
  <c r="D63" i="23"/>
  <c r="D62" i="23"/>
  <c r="D61" i="23"/>
  <c r="D60" i="23"/>
  <c r="D59" i="23"/>
  <c r="D58" i="23"/>
  <c r="D57" i="23"/>
  <c r="D56" i="23"/>
  <c r="D55" i="23"/>
  <c r="D54" i="23"/>
  <c r="D53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H67" i="23"/>
  <c r="D32" i="23"/>
  <c r="D31" i="23"/>
  <c r="D30" i="23"/>
  <c r="H28" i="23"/>
  <c r="G28" i="23"/>
  <c r="F28" i="23"/>
  <c r="E28" i="23"/>
  <c r="D27" i="23"/>
  <c r="D26" i="23"/>
  <c r="D25" i="23"/>
  <c r="D24" i="23"/>
  <c r="D23" i="23"/>
  <c r="D22" i="23"/>
  <c r="D21" i="23"/>
  <c r="D20" i="23"/>
  <c r="D19" i="23"/>
  <c r="D18" i="23"/>
  <c r="D17" i="23"/>
  <c r="D15" i="23"/>
  <c r="D14" i="23"/>
  <c r="D13" i="23"/>
  <c r="H120" i="22"/>
  <c r="G120" i="22"/>
  <c r="F120" i="22"/>
  <c r="E120" i="22"/>
  <c r="D119" i="22"/>
  <c r="D118" i="22"/>
  <c r="H117" i="22"/>
  <c r="G117" i="22"/>
  <c r="G121" i="22" s="1"/>
  <c r="F117" i="22"/>
  <c r="E117" i="22"/>
  <c r="D116" i="22"/>
  <c r="D115" i="22"/>
  <c r="D114" i="22"/>
  <c r="D113" i="22"/>
  <c r="D117" i="22" s="1"/>
  <c r="D108" i="22"/>
  <c r="D112" i="22" s="1"/>
  <c r="H107" i="22"/>
  <c r="G107" i="22"/>
  <c r="F107" i="22"/>
  <c r="F121" i="22" s="1"/>
  <c r="E107" i="22"/>
  <c r="D106" i="22"/>
  <c r="D107" i="22" s="1"/>
  <c r="H105" i="22"/>
  <c r="D104" i="22"/>
  <c r="D103" i="22"/>
  <c r="D102" i="22"/>
  <c r="D101" i="22"/>
  <c r="D100" i="22"/>
  <c r="G105" i="22"/>
  <c r="C133" i="17" s="1"/>
  <c r="D98" i="22"/>
  <c r="D97" i="22"/>
  <c r="D96" i="22"/>
  <c r="D95" i="22"/>
  <c r="D94" i="22"/>
  <c r="D93" i="22"/>
  <c r="D92" i="22"/>
  <c r="D91" i="22"/>
  <c r="D90" i="22"/>
  <c r="D89" i="22"/>
  <c r="D88" i="22"/>
  <c r="D87" i="22"/>
  <c r="D86" i="22"/>
  <c r="D85" i="22"/>
  <c r="D84" i="22"/>
  <c r="D83" i="22"/>
  <c r="D82" i="22"/>
  <c r="D81" i="22"/>
  <c r="D80" i="22"/>
  <c r="D79" i="22"/>
  <c r="D78" i="22"/>
  <c r="D77" i="22"/>
  <c r="D76" i="22"/>
  <c r="D75" i="22"/>
  <c r="D74" i="22"/>
  <c r="D73" i="22"/>
  <c r="D105" i="22" s="1"/>
  <c r="D72" i="22"/>
  <c r="D71" i="22"/>
  <c r="D70" i="22"/>
  <c r="F105" i="22"/>
  <c r="E105" i="22"/>
  <c r="D69" i="22"/>
  <c r="D68" i="22"/>
  <c r="G67" i="22"/>
  <c r="D66" i="22"/>
  <c r="D65" i="22"/>
  <c r="D64" i="22"/>
  <c r="F67" i="22"/>
  <c r="D63" i="22"/>
  <c r="D62" i="22"/>
  <c r="D61" i="22"/>
  <c r="D60" i="22"/>
  <c r="D59" i="22"/>
  <c r="D58" i="22"/>
  <c r="D57" i="22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H67" i="22"/>
  <c r="D32" i="22"/>
  <c r="D31" i="22"/>
  <c r="D30" i="22"/>
  <c r="E67" i="22"/>
  <c r="D29" i="22"/>
  <c r="H28" i="22"/>
  <c r="G28" i="22"/>
  <c r="F28" i="22"/>
  <c r="E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H120" i="21"/>
  <c r="G120" i="21"/>
  <c r="F120" i="21"/>
  <c r="E120" i="21"/>
  <c r="D119" i="21"/>
  <c r="D118" i="21"/>
  <c r="D120" i="21" s="1"/>
  <c r="H117" i="21"/>
  <c r="G117" i="21"/>
  <c r="F117" i="21"/>
  <c r="E117" i="21"/>
  <c r="D116" i="21"/>
  <c r="D115" i="21"/>
  <c r="D114" i="21"/>
  <c r="G112" i="21"/>
  <c r="G121" i="21" s="1"/>
  <c r="F112" i="21"/>
  <c r="E112" i="21"/>
  <c r="H107" i="21"/>
  <c r="G107" i="21"/>
  <c r="F107" i="21"/>
  <c r="E107" i="21"/>
  <c r="D106" i="21"/>
  <c r="D107" i="21" s="1"/>
  <c r="H105" i="21"/>
  <c r="D104" i="21"/>
  <c r="D103" i="21"/>
  <c r="D102" i="21"/>
  <c r="D101" i="21"/>
  <c r="D100" i="21"/>
  <c r="G105" i="21"/>
  <c r="C132" i="17" s="1"/>
  <c r="D98" i="21"/>
  <c r="D97" i="21"/>
  <c r="D96" i="21"/>
  <c r="D95" i="21"/>
  <c r="D94" i="21"/>
  <c r="D93" i="21"/>
  <c r="D92" i="21"/>
  <c r="D91" i="21"/>
  <c r="D90" i="21"/>
  <c r="D89" i="21"/>
  <c r="D88" i="21"/>
  <c r="D87" i="21"/>
  <c r="D86" i="21"/>
  <c r="D85" i="21"/>
  <c r="D84" i="21"/>
  <c r="D83" i="21"/>
  <c r="D82" i="21"/>
  <c r="D81" i="21"/>
  <c r="D80" i="21"/>
  <c r="D79" i="21"/>
  <c r="D78" i="21"/>
  <c r="D77" i="21"/>
  <c r="D76" i="21"/>
  <c r="D75" i="21"/>
  <c r="D74" i="21"/>
  <c r="D73" i="21"/>
  <c r="D72" i="21"/>
  <c r="D71" i="21"/>
  <c r="D70" i="21"/>
  <c r="F105" i="21"/>
  <c r="E105" i="21"/>
  <c r="D69" i="21"/>
  <c r="D68" i="21"/>
  <c r="D105" i="21" s="1"/>
  <c r="G67" i="21"/>
  <c r="D66" i="21"/>
  <c r="D65" i="21"/>
  <c r="D64" i="21"/>
  <c r="F67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E67" i="21"/>
  <c r="H28" i="21"/>
  <c r="G28" i="21"/>
  <c r="F28" i="21"/>
  <c r="E28" i="21"/>
  <c r="E121" i="21" s="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H120" i="20"/>
  <c r="H121" i="20" s="1"/>
  <c r="K135" i="17" s="1"/>
  <c r="G120" i="20"/>
  <c r="F120" i="20"/>
  <c r="E120" i="20"/>
  <c r="D120" i="20"/>
  <c r="H117" i="20"/>
  <c r="G117" i="20"/>
  <c r="F117" i="20"/>
  <c r="E117" i="20"/>
  <c r="D117" i="20"/>
  <c r="G112" i="20"/>
  <c r="F112" i="20"/>
  <c r="E112" i="20"/>
  <c r="H107" i="20"/>
  <c r="G107" i="20"/>
  <c r="F107" i="20"/>
  <c r="E107" i="20"/>
  <c r="D107" i="20"/>
  <c r="H105" i="20"/>
  <c r="G105" i="20"/>
  <c r="C131" i="17" s="1"/>
  <c r="F105" i="20"/>
  <c r="F121" i="20" s="1"/>
  <c r="G67" i="20"/>
  <c r="F67" i="20"/>
  <c r="E67" i="20"/>
  <c r="H28" i="20"/>
  <c r="G28" i="20"/>
  <c r="F28" i="20"/>
  <c r="E28" i="20"/>
  <c r="H120" i="19"/>
  <c r="H121" i="19" s="1"/>
  <c r="K143" i="17" s="1"/>
  <c r="G120" i="19"/>
  <c r="F120" i="19"/>
  <c r="E120" i="19"/>
  <c r="D119" i="19"/>
  <c r="D118" i="19"/>
  <c r="H117" i="19"/>
  <c r="M114" i="17" s="1"/>
  <c r="G117" i="19"/>
  <c r="F117" i="19"/>
  <c r="F121" i="19" s="1"/>
  <c r="E117" i="19"/>
  <c r="D116" i="19"/>
  <c r="D115" i="19"/>
  <c r="D114" i="19"/>
  <c r="D113" i="19"/>
  <c r="D117" i="19" s="1"/>
  <c r="H112" i="19"/>
  <c r="G112" i="19"/>
  <c r="F112" i="19"/>
  <c r="E112" i="19"/>
  <c r="D109" i="19"/>
  <c r="D112" i="19"/>
  <c r="H107" i="19"/>
  <c r="G107" i="19"/>
  <c r="F107" i="19"/>
  <c r="E107" i="19"/>
  <c r="E121" i="19" s="1"/>
  <c r="D106" i="19"/>
  <c r="D107" i="19" s="1"/>
  <c r="H105" i="19"/>
  <c r="D104" i="19"/>
  <c r="D103" i="19"/>
  <c r="D102" i="19"/>
  <c r="D101" i="19"/>
  <c r="D100" i="19"/>
  <c r="G105" i="19"/>
  <c r="C135" i="17" s="1"/>
  <c r="D98" i="19"/>
  <c r="D97" i="19"/>
  <c r="D96" i="19"/>
  <c r="D95" i="19"/>
  <c r="D94" i="19"/>
  <c r="D93" i="19"/>
  <c r="D92" i="19"/>
  <c r="D91" i="19"/>
  <c r="D90" i="19"/>
  <c r="D89" i="19"/>
  <c r="D88" i="19"/>
  <c r="D87" i="19"/>
  <c r="D86" i="19"/>
  <c r="D85" i="19"/>
  <c r="D84" i="19"/>
  <c r="D83" i="19"/>
  <c r="D82" i="19"/>
  <c r="D81" i="19"/>
  <c r="D80" i="19"/>
  <c r="D79" i="19"/>
  <c r="D78" i="19"/>
  <c r="D77" i="19"/>
  <c r="D76" i="19"/>
  <c r="D75" i="19"/>
  <c r="D74" i="19"/>
  <c r="D73" i="19"/>
  <c r="D72" i="19"/>
  <c r="D105" i="19" s="1"/>
  <c r="D71" i="19"/>
  <c r="D70" i="19"/>
  <c r="F105" i="19"/>
  <c r="E105" i="19"/>
  <c r="D69" i="19"/>
  <c r="D68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D39" i="19"/>
  <c r="D38" i="19"/>
  <c r="D37" i="19"/>
  <c r="D36" i="19"/>
  <c r="D35" i="19"/>
  <c r="D34" i="19"/>
  <c r="D33" i="19"/>
  <c r="D67" i="19" s="1"/>
  <c r="D32" i="19"/>
  <c r="D31" i="19"/>
  <c r="D30" i="19"/>
  <c r="H28" i="19"/>
  <c r="G28" i="19"/>
  <c r="F28" i="19"/>
  <c r="E28" i="19"/>
  <c r="D27" i="19"/>
  <c r="D26" i="19"/>
  <c r="D25" i="19"/>
  <c r="D24" i="19"/>
  <c r="D23" i="19"/>
  <c r="D22" i="19"/>
  <c r="D21" i="19"/>
  <c r="D20" i="19"/>
  <c r="D19" i="19"/>
  <c r="D18" i="19"/>
  <c r="D17" i="19"/>
  <c r="D16" i="19"/>
  <c r="D15" i="19"/>
  <c r="D14" i="19"/>
  <c r="D13" i="19"/>
  <c r="H67" i="17"/>
  <c r="G67" i="17"/>
  <c r="F67" i="17"/>
  <c r="E67" i="17"/>
  <c r="J112" i="13"/>
  <c r="N112" i="13"/>
  <c r="H121" i="25"/>
  <c r="K145" i="17" s="1"/>
  <c r="G112" i="13"/>
  <c r="K112" i="13"/>
  <c r="O112" i="13"/>
  <c r="D111" i="16"/>
  <c r="D114" i="24"/>
  <c r="E121" i="25"/>
  <c r="G118" i="24"/>
  <c r="F118" i="24"/>
  <c r="E118" i="24"/>
  <c r="D67" i="22"/>
  <c r="F121" i="23"/>
  <c r="D52" i="23"/>
  <c r="D99" i="23"/>
  <c r="E121" i="22"/>
  <c r="D99" i="22"/>
  <c r="F121" i="21"/>
  <c r="H67" i="21"/>
  <c r="H121" i="21" s="1"/>
  <c r="K136" i="17" s="1"/>
  <c r="D99" i="21"/>
  <c r="D29" i="21"/>
  <c r="D67" i="21"/>
  <c r="H67" i="20"/>
  <c r="E105" i="20"/>
  <c r="D67" i="20"/>
  <c r="D99" i="19"/>
  <c r="D29" i="19"/>
  <c r="D29" i="17"/>
  <c r="D67" i="17" s="1"/>
  <c r="H120" i="17"/>
  <c r="G120" i="17"/>
  <c r="F120" i="17"/>
  <c r="E120" i="17"/>
  <c r="E121" i="17" s="1"/>
  <c r="D119" i="17"/>
  <c r="D118" i="17"/>
  <c r="D120" i="17" s="1"/>
  <c r="H117" i="17"/>
  <c r="M117" i="17" s="1"/>
  <c r="G117" i="17"/>
  <c r="F117" i="17"/>
  <c r="E117" i="17"/>
  <c r="D116" i="17"/>
  <c r="D115" i="17"/>
  <c r="D114" i="17"/>
  <c r="D117" i="17" s="1"/>
  <c r="G112" i="17"/>
  <c r="G121" i="17" s="1"/>
  <c r="C130" i="17" s="1"/>
  <c r="F112" i="17"/>
  <c r="E112" i="17"/>
  <c r="H107" i="17"/>
  <c r="G107" i="17"/>
  <c r="F107" i="17"/>
  <c r="E107" i="17"/>
  <c r="D106" i="17"/>
  <c r="D107" i="17" s="1"/>
  <c r="H105" i="17"/>
  <c r="N105" i="17" s="1"/>
  <c r="G105" i="17"/>
  <c r="F105" i="17"/>
  <c r="E105" i="17"/>
  <c r="D104" i="17"/>
  <c r="D103" i="17"/>
  <c r="D102" i="17"/>
  <c r="D101" i="17"/>
  <c r="D100" i="17"/>
  <c r="D99" i="17"/>
  <c r="G96" i="18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105" i="17" s="1"/>
  <c r="D68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H28" i="17"/>
  <c r="G28" i="17"/>
  <c r="F28" i="17"/>
  <c r="E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P120" i="16"/>
  <c r="O120" i="16"/>
  <c r="N120" i="16"/>
  <c r="M120" i="16"/>
  <c r="L120" i="16"/>
  <c r="K120" i="16"/>
  <c r="J120" i="16"/>
  <c r="J121" i="16" s="1"/>
  <c r="I120" i="16"/>
  <c r="G120" i="16"/>
  <c r="F120" i="16"/>
  <c r="E120" i="16"/>
  <c r="E121" i="16" s="1"/>
  <c r="D119" i="16"/>
  <c r="D118" i="16"/>
  <c r="P117" i="16"/>
  <c r="O117" i="16"/>
  <c r="N117" i="16"/>
  <c r="L117" i="16"/>
  <c r="K117" i="16"/>
  <c r="J117" i="16"/>
  <c r="I117" i="16"/>
  <c r="H117" i="16"/>
  <c r="G117" i="16"/>
  <c r="F117" i="16"/>
  <c r="E117" i="16"/>
  <c r="D116" i="16"/>
  <c r="P107" i="16"/>
  <c r="O107" i="16"/>
  <c r="N107" i="16"/>
  <c r="M107" i="16"/>
  <c r="L107" i="16"/>
  <c r="K107" i="16"/>
  <c r="J107" i="16"/>
  <c r="I107" i="16"/>
  <c r="H107" i="16"/>
  <c r="G107" i="16"/>
  <c r="G121" i="16" s="1"/>
  <c r="F107" i="16"/>
  <c r="E107" i="16"/>
  <c r="P105" i="16"/>
  <c r="O105" i="16"/>
  <c r="N105" i="16"/>
  <c r="M105" i="16"/>
  <c r="L105" i="16"/>
  <c r="K105" i="16"/>
  <c r="J105" i="16"/>
  <c r="I105" i="16"/>
  <c r="H105" i="16"/>
  <c r="G105" i="16"/>
  <c r="F105" i="16"/>
  <c r="E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R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P28" i="16"/>
  <c r="O28" i="16"/>
  <c r="N28" i="16"/>
  <c r="M28" i="16"/>
  <c r="M121" i="16" s="1"/>
  <c r="L28" i="16"/>
  <c r="K28" i="16"/>
  <c r="J28" i="16"/>
  <c r="I28" i="16"/>
  <c r="H28" i="16"/>
  <c r="G28" i="16"/>
  <c r="F28" i="16"/>
  <c r="E28" i="16"/>
  <c r="D27" i="16"/>
  <c r="D26" i="16"/>
  <c r="D25" i="16"/>
  <c r="D24" i="16"/>
  <c r="D22" i="16"/>
  <c r="D21" i="16"/>
  <c r="D20" i="16"/>
  <c r="D19" i="16"/>
  <c r="D18" i="16"/>
  <c r="D17" i="16"/>
  <c r="D16" i="16"/>
  <c r="D15" i="16"/>
  <c r="D14" i="16"/>
  <c r="D13" i="16"/>
  <c r="P120" i="15"/>
  <c r="O120" i="15"/>
  <c r="N120" i="15"/>
  <c r="N121" i="15" s="1"/>
  <c r="M120" i="15"/>
  <c r="L120" i="15"/>
  <c r="K120" i="15"/>
  <c r="J120" i="15"/>
  <c r="I120" i="15"/>
  <c r="H120" i="15"/>
  <c r="G120" i="15"/>
  <c r="F120" i="15"/>
  <c r="F121" i="15" s="1"/>
  <c r="E120" i="15"/>
  <c r="D119" i="15"/>
  <c r="D118" i="15"/>
  <c r="P117" i="15"/>
  <c r="P121" i="15" s="1"/>
  <c r="O117" i="15"/>
  <c r="N117" i="15"/>
  <c r="M117" i="15"/>
  <c r="L117" i="15"/>
  <c r="L121" i="15" s="1"/>
  <c r="K117" i="15"/>
  <c r="J117" i="15"/>
  <c r="I117" i="15"/>
  <c r="H117" i="15"/>
  <c r="H121" i="15" s="1"/>
  <c r="G117" i="15"/>
  <c r="F117" i="15"/>
  <c r="E117" i="15"/>
  <c r="D116" i="15"/>
  <c r="D117" i="15" s="1"/>
  <c r="D115" i="15"/>
  <c r="D114" i="15"/>
  <c r="D113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08" i="15"/>
  <c r="D112" i="15" s="1"/>
  <c r="P107" i="15"/>
  <c r="O107" i="15"/>
  <c r="N107" i="15"/>
  <c r="M107" i="15"/>
  <c r="L107" i="15"/>
  <c r="K107" i="15"/>
  <c r="J107" i="15"/>
  <c r="I107" i="15"/>
  <c r="I121" i="15" s="1"/>
  <c r="H107" i="15"/>
  <c r="G107" i="15"/>
  <c r="F107" i="15"/>
  <c r="E107" i="15"/>
  <c r="D106" i="15"/>
  <c r="D107" i="15" s="1"/>
  <c r="P105" i="15"/>
  <c r="O105" i="15"/>
  <c r="M105" i="15"/>
  <c r="L105" i="15"/>
  <c r="K105" i="15"/>
  <c r="J105" i="15"/>
  <c r="I105" i="15"/>
  <c r="H105" i="15"/>
  <c r="G105" i="15"/>
  <c r="F105" i="15"/>
  <c r="E105" i="15"/>
  <c r="D104" i="15"/>
  <c r="G101" i="18"/>
  <c r="D103" i="15"/>
  <c r="G100" i="18"/>
  <c r="D102" i="15"/>
  <c r="G99" i="18"/>
  <c r="D101" i="15"/>
  <c r="G98" i="18"/>
  <c r="D100" i="15"/>
  <c r="G97" i="18"/>
  <c r="D99" i="15"/>
  <c r="D98" i="15"/>
  <c r="G95" i="18"/>
  <c r="D97" i="15"/>
  <c r="D96" i="15"/>
  <c r="G93" i="18"/>
  <c r="D95" i="15"/>
  <c r="G92" i="18"/>
  <c r="D94" i="15"/>
  <c r="G91" i="18"/>
  <c r="D93" i="15"/>
  <c r="G90" i="18"/>
  <c r="D92" i="15"/>
  <c r="G89" i="18"/>
  <c r="D91" i="15"/>
  <c r="G88" i="18"/>
  <c r="D90" i="15"/>
  <c r="G87" i="18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5" i="15"/>
  <c r="D74" i="15"/>
  <c r="D73" i="15"/>
  <c r="N105" i="15"/>
  <c r="D71" i="15"/>
  <c r="D70" i="15"/>
  <c r="D69" i="15"/>
  <c r="D68" i="15"/>
  <c r="R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67" i="15" s="1"/>
  <c r="D29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13" i="15"/>
  <c r="D28" i="15" s="1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19" i="13"/>
  <c r="D118" i="13"/>
  <c r="D120" i="13" s="1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6" i="13"/>
  <c r="D115" i="13"/>
  <c r="D114" i="13"/>
  <c r="E112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P120" i="12"/>
  <c r="O120" i="12"/>
  <c r="N120" i="12"/>
  <c r="M120" i="12"/>
  <c r="L120" i="12"/>
  <c r="K120" i="12"/>
  <c r="K121" i="12" s="1"/>
  <c r="J120" i="12"/>
  <c r="I120" i="12"/>
  <c r="H120" i="12"/>
  <c r="G120" i="12"/>
  <c r="F120" i="12"/>
  <c r="E120" i="12"/>
  <c r="D119" i="12"/>
  <c r="D118" i="12"/>
  <c r="D120" i="12" s="1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6" i="12"/>
  <c r="D115" i="12"/>
  <c r="D114" i="12"/>
  <c r="D113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08" i="12"/>
  <c r="D112" i="12" s="1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6" i="12"/>
  <c r="D107" i="12" s="1"/>
  <c r="P105" i="12"/>
  <c r="O105" i="12"/>
  <c r="M105" i="12"/>
  <c r="L105" i="12"/>
  <c r="K105" i="12"/>
  <c r="J105" i="12"/>
  <c r="I105" i="12"/>
  <c r="H105" i="12"/>
  <c r="G105" i="12"/>
  <c r="F105" i="12"/>
  <c r="E105" i="12"/>
  <c r="D104" i="12"/>
  <c r="F104" i="26" s="1"/>
  <c r="D103" i="12"/>
  <c r="F103" i="26" s="1"/>
  <c r="D102" i="12"/>
  <c r="F102" i="26" s="1"/>
  <c r="D101" i="12"/>
  <c r="F101" i="26" s="1"/>
  <c r="D100" i="12"/>
  <c r="F100" i="26" s="1"/>
  <c r="D99" i="12"/>
  <c r="F99" i="26" s="1"/>
  <c r="D98" i="12"/>
  <c r="F98" i="26" s="1"/>
  <c r="D97" i="12"/>
  <c r="F97" i="26" s="1"/>
  <c r="D96" i="12"/>
  <c r="F96" i="26" s="1"/>
  <c r="D95" i="12"/>
  <c r="F95" i="26" s="1"/>
  <c r="D94" i="12"/>
  <c r="F94" i="26" s="1"/>
  <c r="D93" i="12"/>
  <c r="F93" i="26" s="1"/>
  <c r="D92" i="12"/>
  <c r="F92" i="26" s="1"/>
  <c r="D91" i="12"/>
  <c r="F91" i="26" s="1"/>
  <c r="D90" i="12"/>
  <c r="D89" i="12"/>
  <c r="F89" i="26" s="1"/>
  <c r="D88" i="12"/>
  <c r="F88" i="26" s="1"/>
  <c r="F85" i="35" s="1"/>
  <c r="D87" i="12"/>
  <c r="F87" i="26" s="1"/>
  <c r="F84" i="35" s="1"/>
  <c r="D86" i="12"/>
  <c r="D85" i="12"/>
  <c r="F85" i="26" s="1"/>
  <c r="D84" i="12"/>
  <c r="F84" i="26" s="1"/>
  <c r="D83" i="12"/>
  <c r="F83" i="26" s="1"/>
  <c r="D82" i="12"/>
  <c r="F82" i="26" s="1"/>
  <c r="D81" i="12"/>
  <c r="F81" i="26" s="1"/>
  <c r="F78" i="35" s="1"/>
  <c r="D80" i="12"/>
  <c r="D79" i="12"/>
  <c r="F79" i="26" s="1"/>
  <c r="D78" i="12"/>
  <c r="F78" i="26" s="1"/>
  <c r="D77" i="12"/>
  <c r="F77" i="26" s="1"/>
  <c r="D76" i="12"/>
  <c r="D75" i="12"/>
  <c r="F75" i="26" s="1"/>
  <c r="F72" i="35" s="1"/>
  <c r="D74" i="12"/>
  <c r="F74" i="26" s="1"/>
  <c r="F71" i="35" s="1"/>
  <c r="D73" i="12"/>
  <c r="F73" i="26" s="1"/>
  <c r="F70" i="35" s="1"/>
  <c r="N72" i="12"/>
  <c r="D72" i="12" s="1"/>
  <c r="F72" i="26" s="1"/>
  <c r="F69" i="35" s="1"/>
  <c r="D71" i="12"/>
  <c r="F71" i="26" s="1"/>
  <c r="F68" i="35" s="1"/>
  <c r="D70" i="12"/>
  <c r="F70" i="26" s="1"/>
  <c r="F67" i="35" s="1"/>
  <c r="D69" i="12"/>
  <c r="F69" i="26" s="1"/>
  <c r="F66" i="35" s="1"/>
  <c r="D68" i="12"/>
  <c r="F68" i="26" s="1"/>
  <c r="F65" i="35" s="1"/>
  <c r="P67" i="12"/>
  <c r="O67" i="12"/>
  <c r="N67" i="12"/>
  <c r="M67" i="12"/>
  <c r="L67" i="12"/>
  <c r="K67" i="12"/>
  <c r="J67" i="12"/>
  <c r="I67" i="12"/>
  <c r="H67" i="12"/>
  <c r="G67" i="12"/>
  <c r="F67" i="12"/>
  <c r="E67" i="12"/>
  <c r="D66" i="12"/>
  <c r="F66" i="26" s="1"/>
  <c r="D65" i="12"/>
  <c r="F65" i="26" s="1"/>
  <c r="F62" i="35" s="1"/>
  <c r="D64" i="12"/>
  <c r="F64" i="26" s="1"/>
  <c r="F61" i="35" s="1"/>
  <c r="D63" i="12"/>
  <c r="F63" i="26" s="1"/>
  <c r="F60" i="35" s="1"/>
  <c r="D62" i="12"/>
  <c r="F62" i="26" s="1"/>
  <c r="F59" i="35" s="1"/>
  <c r="D61" i="12"/>
  <c r="F61" i="26" s="1"/>
  <c r="D60" i="12"/>
  <c r="F60" i="26" s="1"/>
  <c r="F57" i="35" s="1"/>
  <c r="D59" i="12"/>
  <c r="F59" i="26" s="1"/>
  <c r="F56" i="35" s="1"/>
  <c r="D58" i="12"/>
  <c r="F58" i="26" s="1"/>
  <c r="F55" i="35" s="1"/>
  <c r="D57" i="12"/>
  <c r="F57" i="26" s="1"/>
  <c r="F54" i="35" s="1"/>
  <c r="D56" i="12"/>
  <c r="F53" i="18" s="1"/>
  <c r="D55" i="12"/>
  <c r="F55" i="26" s="1"/>
  <c r="D54" i="12"/>
  <c r="F54" i="26" s="1"/>
  <c r="D53" i="12"/>
  <c r="F53" i="26" s="1"/>
  <c r="F50" i="35" s="1"/>
  <c r="D52" i="12"/>
  <c r="D51" i="12"/>
  <c r="D50" i="12"/>
  <c r="F50" i="26" s="1"/>
  <c r="D49" i="12"/>
  <c r="F49" i="26" s="1"/>
  <c r="F46" i="35" s="1"/>
  <c r="D48" i="12"/>
  <c r="F48" i="26" s="1"/>
  <c r="D47" i="12"/>
  <c r="F47" i="26" s="1"/>
  <c r="F44" i="35" s="1"/>
  <c r="D46" i="12"/>
  <c r="F46" i="26" s="1"/>
  <c r="F43" i="35" s="1"/>
  <c r="D45" i="12"/>
  <c r="F45" i="26" s="1"/>
  <c r="F42" i="35" s="1"/>
  <c r="D44" i="12"/>
  <c r="F44" i="26" s="1"/>
  <c r="D43" i="12"/>
  <c r="F43" i="26" s="1"/>
  <c r="D42" i="12"/>
  <c r="F42" i="26" s="1"/>
  <c r="F39" i="35" s="1"/>
  <c r="D41" i="12"/>
  <c r="F41" i="26" s="1"/>
  <c r="D39" i="12"/>
  <c r="F39" i="26" s="1"/>
  <c r="D38" i="12"/>
  <c r="F38" i="26" s="1"/>
  <c r="D37" i="12"/>
  <c r="F37" i="26" s="1"/>
  <c r="D36" i="12"/>
  <c r="F36" i="26" s="1"/>
  <c r="D35" i="12"/>
  <c r="D34" i="12"/>
  <c r="F34" i="26"/>
  <c r="D33" i="12"/>
  <c r="F33" i="26"/>
  <c r="D32" i="12"/>
  <c r="F32" i="26" s="1"/>
  <c r="D31" i="12"/>
  <c r="F31" i="26" s="1"/>
  <c r="D30" i="12"/>
  <c r="F30" i="26" s="1"/>
  <c r="F27" i="35" s="1"/>
  <c r="D29" i="12"/>
  <c r="F29" i="26" s="1"/>
  <c r="F26" i="35" s="1"/>
  <c r="D27" i="12"/>
  <c r="F24" i="18"/>
  <c r="D26" i="12"/>
  <c r="D25" i="12"/>
  <c r="F22" i="18"/>
  <c r="D24" i="12"/>
  <c r="D23" i="12"/>
  <c r="F20" i="18"/>
  <c r="D20" i="12"/>
  <c r="D19" i="12"/>
  <c r="F16" i="18"/>
  <c r="D14" i="12"/>
  <c r="O28" i="12"/>
  <c r="M28" i="12"/>
  <c r="K28" i="12"/>
  <c r="I28" i="12"/>
  <c r="I121" i="12" s="1"/>
  <c r="G28" i="12"/>
  <c r="N72" i="7"/>
  <c r="D71" i="7"/>
  <c r="E71" i="26" s="1"/>
  <c r="D70" i="7"/>
  <c r="E70" i="26" s="1"/>
  <c r="D120" i="15"/>
  <c r="F28" i="12"/>
  <c r="H28" i="12"/>
  <c r="H121" i="12" s="1"/>
  <c r="J28" i="12"/>
  <c r="L28" i="12"/>
  <c r="L121" i="12" s="1"/>
  <c r="N28" i="12"/>
  <c r="P28" i="12"/>
  <c r="P121" i="12" s="1"/>
  <c r="D15" i="12"/>
  <c r="D16" i="12"/>
  <c r="D17" i="12"/>
  <c r="D18" i="12"/>
  <c r="D21" i="12"/>
  <c r="D22" i="12"/>
  <c r="F10" i="18"/>
  <c r="F11" i="18"/>
  <c r="F17" i="18"/>
  <c r="F21" i="18"/>
  <c r="F23" i="18"/>
  <c r="D117" i="12"/>
  <c r="F28" i="13"/>
  <c r="N67" i="13"/>
  <c r="D120" i="16"/>
  <c r="D117" i="16"/>
  <c r="G28" i="13"/>
  <c r="F121" i="17"/>
  <c r="F121" i="16"/>
  <c r="N121" i="16"/>
  <c r="O121" i="16"/>
  <c r="J121" i="15"/>
  <c r="E121" i="15"/>
  <c r="G121" i="15"/>
  <c r="K121" i="15"/>
  <c r="M121" i="15"/>
  <c r="O121" i="15"/>
  <c r="D72" i="15"/>
  <c r="E28" i="12"/>
  <c r="E121" i="12" s="1"/>
  <c r="F19" i="18"/>
  <c r="F15" i="18"/>
  <c r="F13" i="18"/>
  <c r="F18" i="18"/>
  <c r="F14" i="18"/>
  <c r="F12" i="18"/>
  <c r="F28" i="26"/>
  <c r="D66" i="7"/>
  <c r="E66" i="26" s="1"/>
  <c r="D65" i="7"/>
  <c r="E65" i="26" s="1"/>
  <c r="D64" i="7"/>
  <c r="E64" i="26" s="1"/>
  <c r="D63" i="7"/>
  <c r="E63" i="26" s="1"/>
  <c r="D62" i="7"/>
  <c r="E62" i="26" s="1"/>
  <c r="D61" i="7"/>
  <c r="E61" i="26" s="1"/>
  <c r="D60" i="7"/>
  <c r="E60" i="26" s="1"/>
  <c r="D59" i="7"/>
  <c r="E59" i="26" s="1"/>
  <c r="D58" i="7"/>
  <c r="E58" i="26" s="1"/>
  <c r="D57" i="7"/>
  <c r="E57" i="26" s="1"/>
  <c r="D56" i="7"/>
  <c r="E53" i="18" s="1"/>
  <c r="D55" i="7"/>
  <c r="E55" i="26" s="1"/>
  <c r="D54" i="7"/>
  <c r="E54" i="26" s="1"/>
  <c r="D53" i="7"/>
  <c r="E53" i="26" s="1"/>
  <c r="D52" i="7"/>
  <c r="D51" i="7"/>
  <c r="D50" i="7"/>
  <c r="E50" i="26" s="1"/>
  <c r="D49" i="7"/>
  <c r="E49" i="26" s="1"/>
  <c r="D48" i="7"/>
  <c r="E48" i="26" s="1"/>
  <c r="D47" i="7"/>
  <c r="E47" i="26" s="1"/>
  <c r="D46" i="7"/>
  <c r="E46" i="26" s="1"/>
  <c r="D45" i="7"/>
  <c r="E45" i="26" s="1"/>
  <c r="D44" i="7"/>
  <c r="E44" i="26" s="1"/>
  <c r="E41" i="35" s="1"/>
  <c r="D43" i="7"/>
  <c r="E43" i="26" s="1"/>
  <c r="D42" i="7"/>
  <c r="E42" i="26" s="1"/>
  <c r="D41" i="7"/>
  <c r="E41" i="26" s="1"/>
  <c r="D40" i="7"/>
  <c r="E40" i="26" s="1"/>
  <c r="D39" i="7"/>
  <c r="E39" i="26" s="1"/>
  <c r="D38" i="7"/>
  <c r="E38" i="26" s="1"/>
  <c r="E35" i="35" s="1"/>
  <c r="D37" i="7"/>
  <c r="E37" i="26" s="1"/>
  <c r="D36" i="7"/>
  <c r="E36" i="26" s="1"/>
  <c r="E33" i="35" s="1"/>
  <c r="D35" i="7"/>
  <c r="D34" i="7"/>
  <c r="E34" i="26" s="1"/>
  <c r="E31" i="35" s="1"/>
  <c r="D33" i="7"/>
  <c r="E33" i="26" s="1"/>
  <c r="D32" i="7"/>
  <c r="E32" i="26" s="1"/>
  <c r="D31" i="7"/>
  <c r="E31" i="26" s="1"/>
  <c r="D30" i="7"/>
  <c r="E30" i="26" s="1"/>
  <c r="P67" i="7"/>
  <c r="O67" i="7"/>
  <c r="N67" i="7"/>
  <c r="M67" i="7"/>
  <c r="L67" i="7"/>
  <c r="L121" i="7" s="1"/>
  <c r="K67" i="7"/>
  <c r="J67" i="7"/>
  <c r="I67" i="7"/>
  <c r="H67" i="7"/>
  <c r="G67" i="7"/>
  <c r="F67" i="7"/>
  <c r="E14" i="18"/>
  <c r="D18" i="7"/>
  <c r="E15" i="18"/>
  <c r="D19" i="7"/>
  <c r="E16" i="18"/>
  <c r="D19" i="26"/>
  <c r="D18" i="26"/>
  <c r="D17" i="26"/>
  <c r="P120" i="7"/>
  <c r="O120" i="7"/>
  <c r="O121" i="7" s="1"/>
  <c r="N120" i="7"/>
  <c r="M120" i="7"/>
  <c r="L120" i="7"/>
  <c r="K120" i="7"/>
  <c r="K121" i="7" s="1"/>
  <c r="J120" i="7"/>
  <c r="I120" i="7"/>
  <c r="H120" i="7"/>
  <c r="G120" i="7"/>
  <c r="G121" i="7" s="1"/>
  <c r="F120" i="7"/>
  <c r="E120" i="7"/>
  <c r="D119" i="7"/>
  <c r="D118" i="7"/>
  <c r="D120" i="7" s="1"/>
  <c r="P117" i="7"/>
  <c r="O117" i="7"/>
  <c r="N117" i="7"/>
  <c r="M117" i="7"/>
  <c r="L117" i="7"/>
  <c r="K117" i="7"/>
  <c r="J117" i="7"/>
  <c r="I117" i="7"/>
  <c r="I121" i="7" s="1"/>
  <c r="H117" i="7"/>
  <c r="G117" i="7"/>
  <c r="F117" i="7"/>
  <c r="E117" i="7"/>
  <c r="D116" i="7"/>
  <c r="D115" i="7"/>
  <c r="D114" i="7"/>
  <c r="D113" i="7"/>
  <c r="P112" i="7"/>
  <c r="O112" i="7"/>
  <c r="N112" i="7"/>
  <c r="M112" i="7"/>
  <c r="L112" i="7"/>
  <c r="K112" i="7"/>
  <c r="J112" i="7"/>
  <c r="I112" i="7"/>
  <c r="H112" i="7"/>
  <c r="G112" i="7"/>
  <c r="F112" i="7"/>
  <c r="E112" i="7"/>
  <c r="D108" i="7"/>
  <c r="D112" i="7" s="1"/>
  <c r="P107" i="7"/>
  <c r="O107" i="7"/>
  <c r="N107" i="7"/>
  <c r="N121" i="7" s="1"/>
  <c r="M107" i="7"/>
  <c r="L107" i="7"/>
  <c r="K107" i="7"/>
  <c r="J107" i="7"/>
  <c r="J121" i="7" s="1"/>
  <c r="I107" i="7"/>
  <c r="H107" i="7"/>
  <c r="G107" i="7"/>
  <c r="F107" i="7"/>
  <c r="F121" i="7" s="1"/>
  <c r="E107" i="7"/>
  <c r="D106" i="7"/>
  <c r="D107" i="7" s="1"/>
  <c r="P105" i="7"/>
  <c r="O105" i="7"/>
  <c r="N105" i="7"/>
  <c r="M105" i="7"/>
  <c r="L105" i="7"/>
  <c r="K105" i="7"/>
  <c r="J105" i="7"/>
  <c r="I105" i="7"/>
  <c r="H105" i="7"/>
  <c r="G105" i="7"/>
  <c r="F105" i="7"/>
  <c r="E105" i="7"/>
  <c r="D104" i="7"/>
  <c r="E104" i="26" s="1"/>
  <c r="E101" i="35" s="1"/>
  <c r="D103" i="7"/>
  <c r="E103" i="26" s="1"/>
  <c r="E100" i="35" s="1"/>
  <c r="D102" i="7"/>
  <c r="E102" i="26" s="1"/>
  <c r="E99" i="35" s="1"/>
  <c r="D101" i="7"/>
  <c r="E101" i="26" s="1"/>
  <c r="E98" i="35" s="1"/>
  <c r="D100" i="7"/>
  <c r="E100" i="26" s="1"/>
  <c r="E97" i="35" s="1"/>
  <c r="D99" i="7"/>
  <c r="E99" i="26" s="1"/>
  <c r="E96" i="35" s="1"/>
  <c r="D98" i="7"/>
  <c r="E98" i="26" s="1"/>
  <c r="E95" i="35" s="1"/>
  <c r="D97" i="7"/>
  <c r="E97" i="26" s="1"/>
  <c r="E94" i="35" s="1"/>
  <c r="D96" i="7"/>
  <c r="E96" i="26" s="1"/>
  <c r="E93" i="35" s="1"/>
  <c r="D95" i="7"/>
  <c r="E95" i="26" s="1"/>
  <c r="E92" i="35" s="1"/>
  <c r="D94" i="7"/>
  <c r="E94" i="26" s="1"/>
  <c r="E91" i="35" s="1"/>
  <c r="D93" i="7"/>
  <c r="E93" i="26" s="1"/>
  <c r="E90" i="35" s="1"/>
  <c r="D92" i="7"/>
  <c r="E92" i="26" s="1"/>
  <c r="E89" i="35" s="1"/>
  <c r="D91" i="7"/>
  <c r="E91" i="26" s="1"/>
  <c r="E88" i="35" s="1"/>
  <c r="D90" i="7"/>
  <c r="E90" i="26" s="1"/>
  <c r="D89" i="7"/>
  <c r="E89" i="26" s="1"/>
  <c r="D88" i="7"/>
  <c r="E88" i="26" s="1"/>
  <c r="D87" i="7"/>
  <c r="E87" i="26" s="1"/>
  <c r="E84" i="18" s="1"/>
  <c r="D86" i="7"/>
  <c r="E86" i="26" s="1"/>
  <c r="E83" i="18" s="1"/>
  <c r="D85" i="7"/>
  <c r="E85" i="26" s="1"/>
  <c r="E82" i="18" s="1"/>
  <c r="D84" i="7"/>
  <c r="D83" i="7"/>
  <c r="E83" i="26" s="1"/>
  <c r="D82" i="7"/>
  <c r="E82" i="26" s="1"/>
  <c r="E79" i="35" s="1"/>
  <c r="D81" i="7"/>
  <c r="E81" i="26" s="1"/>
  <c r="D80" i="7"/>
  <c r="E80" i="26" s="1"/>
  <c r="E77" i="35" s="1"/>
  <c r="D79" i="7"/>
  <c r="E79" i="26" s="1"/>
  <c r="E76" i="35" s="1"/>
  <c r="D78" i="7"/>
  <c r="E78" i="26" s="1"/>
  <c r="E75" i="35" s="1"/>
  <c r="D77" i="7"/>
  <c r="E77" i="26" s="1"/>
  <c r="E74" i="35" s="1"/>
  <c r="D76" i="7"/>
  <c r="E76" i="26" s="1"/>
  <c r="D75" i="7"/>
  <c r="E75" i="26" s="1"/>
  <c r="D74" i="7"/>
  <c r="E74" i="26" s="1"/>
  <c r="D73" i="7"/>
  <c r="D72" i="7"/>
  <c r="D69" i="7"/>
  <c r="E69" i="26" s="1"/>
  <c r="E66" i="35" s="1"/>
  <c r="D68" i="7"/>
  <c r="E68" i="26" s="1"/>
  <c r="E65" i="35" s="1"/>
  <c r="E67" i="7"/>
  <c r="D29" i="7"/>
  <c r="P28" i="7"/>
  <c r="O28" i="7"/>
  <c r="N28" i="7"/>
  <c r="M28" i="7"/>
  <c r="L28" i="7"/>
  <c r="K28" i="7"/>
  <c r="J28" i="7"/>
  <c r="I28" i="7"/>
  <c r="H28" i="7"/>
  <c r="G28" i="7"/>
  <c r="F28" i="7"/>
  <c r="D27" i="7"/>
  <c r="D26" i="7"/>
  <c r="D25" i="7"/>
  <c r="D24" i="7"/>
  <c r="D23" i="7"/>
  <c r="D22" i="7"/>
  <c r="D21" i="7"/>
  <c r="D20" i="7"/>
  <c r="D16" i="7"/>
  <c r="D15" i="7"/>
  <c r="D14" i="7"/>
  <c r="D13" i="7"/>
  <c r="E11" i="18"/>
  <c r="D14" i="26"/>
  <c r="E18" i="18"/>
  <c r="K18" i="18" s="1"/>
  <c r="D21" i="26"/>
  <c r="E20" i="18"/>
  <c r="D23" i="26"/>
  <c r="E24" i="18"/>
  <c r="D27" i="26"/>
  <c r="E10" i="18"/>
  <c r="E28" i="26"/>
  <c r="D13" i="26"/>
  <c r="E12" i="18"/>
  <c r="K12" i="18" s="1"/>
  <c r="D15" i="26"/>
  <c r="E17" i="18"/>
  <c r="D20" i="26"/>
  <c r="E19" i="18"/>
  <c r="D22" i="26"/>
  <c r="E21" i="18"/>
  <c r="D24" i="26"/>
  <c r="E23" i="18"/>
  <c r="D26" i="26"/>
  <c r="E13" i="18"/>
  <c r="D16" i="26"/>
  <c r="E22" i="18"/>
  <c r="K22" i="18" s="1"/>
  <c r="D25" i="26"/>
  <c r="E69" i="18"/>
  <c r="H121" i="7"/>
  <c r="P121" i="7"/>
  <c r="M121" i="7"/>
  <c r="F89" i="35" l="1"/>
  <c r="F89" i="18"/>
  <c r="F76" i="26"/>
  <c r="D76" i="26" s="1"/>
  <c r="K23" i="18"/>
  <c r="E28" i="7"/>
  <c r="E121" i="7" s="1"/>
  <c r="M109" i="17"/>
  <c r="D112" i="24"/>
  <c r="D118" i="24" s="1"/>
  <c r="D20" i="27"/>
  <c r="D68" i="27"/>
  <c r="D68" i="13"/>
  <c r="K19" i="18"/>
  <c r="D105" i="7"/>
  <c r="D105" i="15"/>
  <c r="M121" i="12"/>
  <c r="F83" i="35"/>
  <c r="F86" i="26"/>
  <c r="D120" i="22"/>
  <c r="E121" i="23"/>
  <c r="D29" i="23"/>
  <c r="D67" i="23" s="1"/>
  <c r="D121" i="23" s="1"/>
  <c r="D117" i="23"/>
  <c r="D17" i="27"/>
  <c r="D65" i="27"/>
  <c r="D61" i="27"/>
  <c r="D57" i="27"/>
  <c r="D53" i="27"/>
  <c r="D49" i="27"/>
  <c r="D45" i="27"/>
  <c r="D41" i="27"/>
  <c r="D37" i="27"/>
  <c r="D33" i="27"/>
  <c r="F105" i="27"/>
  <c r="F121" i="27" s="1"/>
  <c r="H109" i="13"/>
  <c r="H112" i="13" s="1"/>
  <c r="H121" i="13" s="1"/>
  <c r="E80" i="35"/>
  <c r="E80" i="18"/>
  <c r="K80" i="18" s="1"/>
  <c r="K13" i="18"/>
  <c r="K21" i="18"/>
  <c r="K17" i="18"/>
  <c r="H121" i="17"/>
  <c r="K134" i="17" s="1"/>
  <c r="J121" i="12"/>
  <c r="G121" i="12"/>
  <c r="O121" i="12"/>
  <c r="M120" i="17"/>
  <c r="D105" i="23"/>
  <c r="D120" i="19"/>
  <c r="D117" i="25"/>
  <c r="H28" i="13"/>
  <c r="E82" i="35"/>
  <c r="D117" i="7"/>
  <c r="H113" i="35"/>
  <c r="G121" i="19"/>
  <c r="F34" i="35"/>
  <c r="F34" i="18"/>
  <c r="F36" i="35"/>
  <c r="F36" i="18"/>
  <c r="D121" i="15"/>
  <c r="F74" i="35"/>
  <c r="F74" i="18"/>
  <c r="F76" i="35"/>
  <c r="F76" i="18"/>
  <c r="F80" i="35"/>
  <c r="F80" i="18"/>
  <c r="E26" i="35"/>
  <c r="D104" i="27"/>
  <c r="E72" i="13"/>
  <c r="E105" i="13" s="1"/>
  <c r="D112" i="17"/>
  <c r="M121" i="17"/>
  <c r="I121" i="16"/>
  <c r="K121" i="16"/>
  <c r="E121" i="20"/>
  <c r="H105" i="27"/>
  <c r="D117" i="13"/>
  <c r="G113" i="35"/>
  <c r="G110" i="35"/>
  <c r="E65" i="18"/>
  <c r="N67" i="17"/>
  <c r="M28" i="17"/>
  <c r="E29" i="27"/>
  <c r="D66" i="27"/>
  <c r="D62" i="27"/>
  <c r="D58" i="27"/>
  <c r="D30" i="27"/>
  <c r="M107" i="17"/>
  <c r="E26" i="18"/>
  <c r="G105" i="13"/>
  <c r="D67" i="16"/>
  <c r="E71" i="18"/>
  <c r="E71" i="35"/>
  <c r="E73" i="18"/>
  <c r="E73" i="35"/>
  <c r="E72" i="18"/>
  <c r="E72" i="35"/>
  <c r="E78" i="18"/>
  <c r="E78" i="35"/>
  <c r="E84" i="35"/>
  <c r="E86" i="18"/>
  <c r="E86" i="35"/>
  <c r="E27" i="18"/>
  <c r="E27" i="35"/>
  <c r="E29" i="18"/>
  <c r="E29" i="35"/>
  <c r="E37" i="18"/>
  <c r="E37" i="35"/>
  <c r="E39" i="18"/>
  <c r="E39" i="35"/>
  <c r="E43" i="18"/>
  <c r="E43" i="35"/>
  <c r="E45" i="18"/>
  <c r="E45" i="35"/>
  <c r="E47" i="18"/>
  <c r="E47" i="35"/>
  <c r="E51" i="18"/>
  <c r="E51" i="35"/>
  <c r="E55" i="18"/>
  <c r="E55" i="35"/>
  <c r="E57" i="18"/>
  <c r="E57" i="35"/>
  <c r="E59" i="18"/>
  <c r="E59" i="35"/>
  <c r="E61" i="18"/>
  <c r="E61" i="35"/>
  <c r="E63" i="18"/>
  <c r="E63" i="35"/>
  <c r="E68" i="18"/>
  <c r="E68" i="35"/>
  <c r="F29" i="18"/>
  <c r="F29" i="35"/>
  <c r="F33" i="18"/>
  <c r="F33" i="35"/>
  <c r="F35" i="18"/>
  <c r="F35" i="35"/>
  <c r="F37" i="18"/>
  <c r="F37" i="35"/>
  <c r="F41" i="18"/>
  <c r="F41" i="35"/>
  <c r="F45" i="18"/>
  <c r="F45" i="35"/>
  <c r="F47" i="18"/>
  <c r="F47" i="35"/>
  <c r="F51" i="18"/>
  <c r="F51" i="35"/>
  <c r="F63" i="18"/>
  <c r="F63" i="35"/>
  <c r="F75" i="18"/>
  <c r="F75" i="35"/>
  <c r="F79" i="18"/>
  <c r="F79" i="35"/>
  <c r="F81" i="18"/>
  <c r="K81" i="18" s="1"/>
  <c r="F81" i="35"/>
  <c r="F82" i="18"/>
  <c r="F82" i="35"/>
  <c r="G121" i="27"/>
  <c r="D112" i="27"/>
  <c r="D117" i="27"/>
  <c r="D110" i="13"/>
  <c r="E81" i="35"/>
  <c r="E83" i="35"/>
  <c r="E85" i="18"/>
  <c r="E85" i="35"/>
  <c r="E87" i="18"/>
  <c r="E87" i="35"/>
  <c r="E28" i="18"/>
  <c r="E28" i="35"/>
  <c r="E30" i="18"/>
  <c r="E30" i="35"/>
  <c r="E34" i="18"/>
  <c r="K34" i="18" s="1"/>
  <c r="E34" i="35"/>
  <c r="E36" i="18"/>
  <c r="E36" i="35"/>
  <c r="E38" i="18"/>
  <c r="E38" i="35"/>
  <c r="E40" i="18"/>
  <c r="E40" i="35"/>
  <c r="E42" i="18"/>
  <c r="E42" i="35"/>
  <c r="E44" i="18"/>
  <c r="E44" i="35"/>
  <c r="E46" i="18"/>
  <c r="E46" i="35"/>
  <c r="E50" i="18"/>
  <c r="E50" i="35"/>
  <c r="E52" i="18"/>
  <c r="E52" i="35"/>
  <c r="E54" i="18"/>
  <c r="E54" i="35"/>
  <c r="E56" i="18"/>
  <c r="E56" i="35"/>
  <c r="E58" i="18"/>
  <c r="E58" i="35"/>
  <c r="E60" i="18"/>
  <c r="E60" i="35"/>
  <c r="E62" i="18"/>
  <c r="E62" i="35"/>
  <c r="E67" i="18"/>
  <c r="E67" i="35"/>
  <c r="E102" i="35" s="1"/>
  <c r="F28" i="18"/>
  <c r="F28" i="35"/>
  <c r="F30" i="18"/>
  <c r="F30" i="35"/>
  <c r="F31" i="18"/>
  <c r="F31" i="35"/>
  <c r="F38" i="18"/>
  <c r="F38" i="35"/>
  <c r="F40" i="18"/>
  <c r="F40" i="35"/>
  <c r="F52" i="18"/>
  <c r="F52" i="35"/>
  <c r="F64" i="35" s="1"/>
  <c r="F58" i="18"/>
  <c r="F58" i="35"/>
  <c r="F86" i="18"/>
  <c r="F86" i="35"/>
  <c r="F88" i="18"/>
  <c r="F88" i="35"/>
  <c r="F90" i="18"/>
  <c r="F90" i="35"/>
  <c r="F91" i="18"/>
  <c r="F91" i="35"/>
  <c r="F92" i="18"/>
  <c r="F92" i="35"/>
  <c r="F93" i="18"/>
  <c r="F93" i="35"/>
  <c r="F94" i="18"/>
  <c r="F94" i="35"/>
  <c r="F95" i="18"/>
  <c r="F95" i="35"/>
  <c r="F96" i="18"/>
  <c r="F96" i="35"/>
  <c r="F97" i="18"/>
  <c r="F97" i="35"/>
  <c r="F98" i="18"/>
  <c r="F98" i="35"/>
  <c r="F99" i="18"/>
  <c r="F99" i="35"/>
  <c r="F100" i="18"/>
  <c r="F100" i="35"/>
  <c r="F101" i="18"/>
  <c r="F101" i="35"/>
  <c r="C103" i="18"/>
  <c r="C104" i="18" s="1"/>
  <c r="C103" i="35"/>
  <c r="C104" i="35" s="1"/>
  <c r="D101" i="27"/>
  <c r="D99" i="27"/>
  <c r="D97" i="27"/>
  <c r="D95" i="27"/>
  <c r="D93" i="27"/>
  <c r="D91" i="27"/>
  <c r="D89" i="27"/>
  <c r="D87" i="27"/>
  <c r="D85" i="27"/>
  <c r="D83" i="27"/>
  <c r="D81" i="27"/>
  <c r="D79" i="27"/>
  <c r="D77" i="27"/>
  <c r="D75" i="27"/>
  <c r="D73" i="27"/>
  <c r="D71" i="27"/>
  <c r="D69" i="27"/>
  <c r="H67" i="27"/>
  <c r="D76" i="13"/>
  <c r="K24" i="18"/>
  <c r="K86" i="18"/>
  <c r="K16" i="18"/>
  <c r="K15" i="18"/>
  <c r="K53" i="18"/>
  <c r="G25" i="18"/>
  <c r="H112" i="27"/>
  <c r="H121" i="27" s="1"/>
  <c r="N140" i="17" s="1"/>
  <c r="G195" i="17"/>
  <c r="D28" i="27"/>
  <c r="K10" i="18"/>
  <c r="E25" i="18"/>
  <c r="F25" i="18"/>
  <c r="H64" i="18"/>
  <c r="G102" i="18"/>
  <c r="H25" i="18"/>
  <c r="G64" i="18"/>
  <c r="H102" i="18"/>
  <c r="K20" i="18"/>
  <c r="K11" i="18"/>
  <c r="K14" i="18"/>
  <c r="K49" i="18"/>
  <c r="K48" i="18"/>
  <c r="K32" i="18"/>
  <c r="P112" i="13"/>
  <c r="L112" i="13"/>
  <c r="M112" i="13"/>
  <c r="I112" i="13"/>
  <c r="I121" i="13" s="1"/>
  <c r="D32" i="27"/>
  <c r="E105" i="26"/>
  <c r="E66" i="18"/>
  <c r="E74" i="18"/>
  <c r="K74" i="18" s="1"/>
  <c r="D77" i="26"/>
  <c r="E76" i="18"/>
  <c r="K76" i="18" s="1"/>
  <c r="D79" i="26"/>
  <c r="D83" i="26"/>
  <c r="D85" i="26"/>
  <c r="E88" i="18"/>
  <c r="K88" i="18" s="1"/>
  <c r="D91" i="26"/>
  <c r="E90" i="18"/>
  <c r="K90" i="18" s="1"/>
  <c r="D93" i="26"/>
  <c r="E92" i="18"/>
  <c r="K92" i="18" s="1"/>
  <c r="D95" i="26"/>
  <c r="E94" i="18"/>
  <c r="K94" i="18" s="1"/>
  <c r="D97" i="26"/>
  <c r="E96" i="18"/>
  <c r="K96" i="18" s="1"/>
  <c r="D99" i="26"/>
  <c r="E98" i="18"/>
  <c r="K98" i="18" s="1"/>
  <c r="D101" i="26"/>
  <c r="E100" i="18"/>
  <c r="K100" i="18" s="1"/>
  <c r="D103" i="26"/>
  <c r="E31" i="18"/>
  <c r="K31" i="18" s="1"/>
  <c r="D34" i="26"/>
  <c r="E33" i="18"/>
  <c r="K33" i="18" s="1"/>
  <c r="D36" i="26"/>
  <c r="E35" i="18"/>
  <c r="K35" i="18" s="1"/>
  <c r="D38" i="26"/>
  <c r="E75" i="18"/>
  <c r="K75" i="18" s="1"/>
  <c r="D78" i="26"/>
  <c r="E77" i="18"/>
  <c r="K77" i="18" s="1"/>
  <c r="D80" i="26"/>
  <c r="E79" i="18"/>
  <c r="K79" i="18" s="1"/>
  <c r="D82" i="26"/>
  <c r="E89" i="18"/>
  <c r="K89" i="18" s="1"/>
  <c r="D92" i="26"/>
  <c r="E91" i="18"/>
  <c r="K91" i="18" s="1"/>
  <c r="D94" i="26"/>
  <c r="D96" i="26"/>
  <c r="E93" i="18"/>
  <c r="E95" i="18"/>
  <c r="K95" i="18" s="1"/>
  <c r="D98" i="26"/>
  <c r="E97" i="18"/>
  <c r="K97" i="18" s="1"/>
  <c r="D100" i="26"/>
  <c r="E99" i="18"/>
  <c r="K99" i="18" s="1"/>
  <c r="D102" i="26"/>
  <c r="E101" i="18"/>
  <c r="K101" i="18" s="1"/>
  <c r="D104" i="26"/>
  <c r="D49" i="26"/>
  <c r="N72" i="13"/>
  <c r="D37" i="26"/>
  <c r="D39" i="26"/>
  <c r="D13" i="13"/>
  <c r="L28" i="13"/>
  <c r="P28" i="13"/>
  <c r="D44" i="13"/>
  <c r="M28" i="13"/>
  <c r="H121" i="26"/>
  <c r="M118" i="17" s="1"/>
  <c r="D28" i="22"/>
  <c r="D121" i="22" s="1"/>
  <c r="D28" i="19"/>
  <c r="D121" i="19" s="1"/>
  <c r="D28" i="21"/>
  <c r="D121" i="21" s="1"/>
  <c r="D28" i="20"/>
  <c r="D121" i="20" s="1"/>
  <c r="D28" i="17"/>
  <c r="D121" i="17" s="1"/>
  <c r="D28" i="25"/>
  <c r="D121" i="25" s="1"/>
  <c r="D28" i="26"/>
  <c r="D28" i="23"/>
  <c r="K146" i="17"/>
  <c r="M67" i="17"/>
  <c r="D112" i="16"/>
  <c r="D108" i="13"/>
  <c r="D105" i="12"/>
  <c r="D67" i="7"/>
  <c r="M105" i="17"/>
  <c r="D105" i="16"/>
  <c r="G121" i="20"/>
  <c r="G158" i="17" s="1"/>
  <c r="C141" i="17"/>
  <c r="F27" i="18"/>
  <c r="K27" i="18" s="1"/>
  <c r="D30" i="26"/>
  <c r="F39" i="18"/>
  <c r="K39" i="18" s="1"/>
  <c r="D42" i="26"/>
  <c r="F55" i="18"/>
  <c r="K55" i="18" s="1"/>
  <c r="D58" i="26"/>
  <c r="F57" i="18"/>
  <c r="K57" i="18" s="1"/>
  <c r="D60" i="26"/>
  <c r="F59" i="18"/>
  <c r="K59" i="18" s="1"/>
  <c r="D62" i="26"/>
  <c r="F61" i="18"/>
  <c r="K61" i="18" s="1"/>
  <c r="D64" i="26"/>
  <c r="D69" i="26"/>
  <c r="F66" i="18"/>
  <c r="F68" i="18"/>
  <c r="K68" i="18" s="1"/>
  <c r="D71" i="26"/>
  <c r="F70" i="18"/>
  <c r="K70" i="18" s="1"/>
  <c r="D73" i="26"/>
  <c r="D75" i="26"/>
  <c r="F72" i="18"/>
  <c r="F85" i="18"/>
  <c r="K85" i="18" s="1"/>
  <c r="D88" i="26"/>
  <c r="F69" i="18"/>
  <c r="K69" i="18" s="1"/>
  <c r="D72" i="26"/>
  <c r="F26" i="18"/>
  <c r="D29" i="26"/>
  <c r="D47" i="26"/>
  <c r="F44" i="18"/>
  <c r="D53" i="26"/>
  <c r="F50" i="18"/>
  <c r="D57" i="26"/>
  <c r="F54" i="18"/>
  <c r="F56" i="18"/>
  <c r="K56" i="18" s="1"/>
  <c r="D59" i="26"/>
  <c r="F60" i="18"/>
  <c r="K60" i="18" s="1"/>
  <c r="D63" i="26"/>
  <c r="F62" i="18"/>
  <c r="K62" i="18" s="1"/>
  <c r="D65" i="26"/>
  <c r="F65" i="18"/>
  <c r="D68" i="26"/>
  <c r="D70" i="26"/>
  <c r="F67" i="18"/>
  <c r="F71" i="18"/>
  <c r="K71" i="18" s="1"/>
  <c r="D74" i="26"/>
  <c r="F78" i="18"/>
  <c r="K78" i="18" s="1"/>
  <c r="D81" i="26"/>
  <c r="F84" i="18"/>
  <c r="K84" i="18" s="1"/>
  <c r="D87" i="26"/>
  <c r="D33" i="26"/>
  <c r="D40" i="26"/>
  <c r="F121" i="12"/>
  <c r="N105" i="12"/>
  <c r="N121" i="12" s="1"/>
  <c r="D62" i="13"/>
  <c r="D94" i="13"/>
  <c r="D48" i="26"/>
  <c r="D50" i="26"/>
  <c r="F46" i="18"/>
  <c r="K46" i="18" s="1"/>
  <c r="D41" i="26"/>
  <c r="D102" i="13"/>
  <c r="D54" i="13"/>
  <c r="D84" i="13"/>
  <c r="D54" i="26"/>
  <c r="D56" i="26"/>
  <c r="D32" i="26"/>
  <c r="D61" i="26"/>
  <c r="D55" i="26"/>
  <c r="D43" i="26"/>
  <c r="D58" i="13"/>
  <c r="D39" i="13"/>
  <c r="D34" i="13"/>
  <c r="D30" i="13"/>
  <c r="P67" i="13"/>
  <c r="L67" i="13"/>
  <c r="H67" i="13"/>
  <c r="D89" i="13"/>
  <c r="D71" i="13"/>
  <c r="D72" i="13"/>
  <c r="D50" i="13"/>
  <c r="I67" i="13"/>
  <c r="E67" i="13"/>
  <c r="D98" i="13"/>
  <c r="D80" i="13"/>
  <c r="N139" i="17"/>
  <c r="M67" i="13"/>
  <c r="N105" i="13"/>
  <c r="N121" i="13" s="1"/>
  <c r="L105" i="13"/>
  <c r="J105" i="13"/>
  <c r="J121" i="13" s="1"/>
  <c r="H105" i="13"/>
  <c r="O105" i="13"/>
  <c r="M105" i="13"/>
  <c r="M121" i="13" s="1"/>
  <c r="I105" i="13"/>
  <c r="G67" i="13"/>
  <c r="D28" i="16"/>
  <c r="O28" i="13"/>
  <c r="K28" i="13"/>
  <c r="K121" i="13" s="1"/>
  <c r="D64" i="13"/>
  <c r="D56" i="13"/>
  <c r="D48" i="13"/>
  <c r="D36" i="13"/>
  <c r="D104" i="13"/>
  <c r="D96" i="13"/>
  <c r="D87" i="13"/>
  <c r="D78" i="13"/>
  <c r="D69" i="13"/>
  <c r="E28" i="13"/>
  <c r="F112" i="13"/>
  <c r="F121" i="13" s="1"/>
  <c r="D60" i="13"/>
  <c r="D52" i="13"/>
  <c r="D42" i="13"/>
  <c r="D92" i="13"/>
  <c r="D82" i="13"/>
  <c r="D74" i="13"/>
  <c r="D109" i="13"/>
  <c r="D111" i="13"/>
  <c r="D100" i="13"/>
  <c r="D32" i="13"/>
  <c r="E41" i="18"/>
  <c r="K41" i="18" s="1"/>
  <c r="E67" i="26"/>
  <c r="E121" i="26" s="1"/>
  <c r="E158" i="17" s="1"/>
  <c r="D44" i="26"/>
  <c r="D19" i="13"/>
  <c r="D24" i="13"/>
  <c r="D28" i="7"/>
  <c r="E160" i="17" s="1"/>
  <c r="D15" i="13"/>
  <c r="D26" i="13"/>
  <c r="D21" i="13"/>
  <c r="D121" i="16"/>
  <c r="D23" i="13"/>
  <c r="D63" i="13"/>
  <c r="D59" i="13"/>
  <c r="D55" i="13"/>
  <c r="D51" i="13"/>
  <c r="D47" i="13"/>
  <c r="D41" i="13"/>
  <c r="D35" i="13"/>
  <c r="D31" i="13"/>
  <c r="D103" i="13"/>
  <c r="D99" i="13"/>
  <c r="D95" i="13"/>
  <c r="D91" i="13"/>
  <c r="D85" i="13"/>
  <c r="D81" i="13"/>
  <c r="D77" i="13"/>
  <c r="D73" i="13"/>
  <c r="D65" i="13"/>
  <c r="D61" i="13"/>
  <c r="D57" i="13"/>
  <c r="D53" i="13"/>
  <c r="D49" i="13"/>
  <c r="D43" i="13"/>
  <c r="D37" i="13"/>
  <c r="D33" i="13"/>
  <c r="D29" i="13"/>
  <c r="D101" i="13"/>
  <c r="D97" i="13"/>
  <c r="D93" i="13"/>
  <c r="D88" i="13"/>
  <c r="D83" i="13"/>
  <c r="D79" i="13"/>
  <c r="D75" i="13"/>
  <c r="D70" i="13"/>
  <c r="D31" i="26"/>
  <c r="D25" i="13"/>
  <c r="D46" i="13"/>
  <c r="D45" i="13"/>
  <c r="D17" i="13"/>
  <c r="D66" i="13"/>
  <c r="D38" i="13"/>
  <c r="D86" i="13"/>
  <c r="D86" i="26"/>
  <c r="F83" i="18"/>
  <c r="D90" i="13"/>
  <c r="C87" i="35" s="1"/>
  <c r="F87" i="18"/>
  <c r="K87" i="18" s="1"/>
  <c r="D90" i="26"/>
  <c r="F105" i="26"/>
  <c r="D66" i="26"/>
  <c r="D46" i="26"/>
  <c r="F43" i="18"/>
  <c r="K43" i="18" s="1"/>
  <c r="F42" i="18"/>
  <c r="K42" i="18" s="1"/>
  <c r="D45" i="26"/>
  <c r="F67" i="26"/>
  <c r="D40" i="13"/>
  <c r="C37" i="35" s="1"/>
  <c r="D67" i="12"/>
  <c r="D125" i="12" s="1"/>
  <c r="D27" i="13"/>
  <c r="D22" i="13"/>
  <c r="D20" i="13"/>
  <c r="D18" i="13"/>
  <c r="D16" i="13"/>
  <c r="D28" i="12"/>
  <c r="F160" i="17" s="1"/>
  <c r="D14" i="13"/>
  <c r="G121" i="13"/>
  <c r="D89" i="26"/>
  <c r="F73" i="18" l="1"/>
  <c r="K73" i="18" s="1"/>
  <c r="K149" i="17"/>
  <c r="D105" i="27"/>
  <c r="K47" i="18"/>
  <c r="F73" i="35"/>
  <c r="F102" i="35" s="1"/>
  <c r="P121" i="13"/>
  <c r="N146" i="17"/>
  <c r="K72" i="18"/>
  <c r="G114" i="18"/>
  <c r="K36" i="18"/>
  <c r="K63" i="18"/>
  <c r="K51" i="18"/>
  <c r="K45" i="18"/>
  <c r="K67" i="18"/>
  <c r="K54" i="18"/>
  <c r="K50" i="18"/>
  <c r="K44" i="18"/>
  <c r="K93" i="18"/>
  <c r="D112" i="13"/>
  <c r="M103" i="18"/>
  <c r="K82" i="18"/>
  <c r="G116" i="35"/>
  <c r="G120" i="35" s="1"/>
  <c r="D125" i="13"/>
  <c r="K65" i="18"/>
  <c r="E67" i="27"/>
  <c r="E121" i="27" s="1"/>
  <c r="D29" i="27"/>
  <c r="D67" i="27" s="1"/>
  <c r="D121" i="27" s="1"/>
  <c r="H116" i="35"/>
  <c r="H120" i="35" s="1"/>
  <c r="C11" i="18"/>
  <c r="M11" i="18" s="1"/>
  <c r="C11" i="35"/>
  <c r="C24" i="18"/>
  <c r="M24" i="18" s="1"/>
  <c r="C24" i="35"/>
  <c r="C80" i="18"/>
  <c r="M80" i="18" s="1"/>
  <c r="C80" i="35"/>
  <c r="C90" i="18"/>
  <c r="M90" i="18" s="1"/>
  <c r="C90" i="35"/>
  <c r="C30" i="18"/>
  <c r="C30" i="35"/>
  <c r="C40" i="18"/>
  <c r="C40" i="35"/>
  <c r="C58" i="18"/>
  <c r="C58" i="35"/>
  <c r="C70" i="18"/>
  <c r="C70" i="35"/>
  <c r="C78" i="18"/>
  <c r="C78" i="35"/>
  <c r="C96" i="18"/>
  <c r="C96" i="35"/>
  <c r="C28" i="18"/>
  <c r="C28" i="35"/>
  <c r="C38" i="18"/>
  <c r="C38" i="35"/>
  <c r="C48" i="18"/>
  <c r="M48" i="18" s="1"/>
  <c r="C48" i="35"/>
  <c r="C56" i="18"/>
  <c r="C56" i="35"/>
  <c r="C20" i="18"/>
  <c r="M20" i="18" s="1"/>
  <c r="C20" i="35"/>
  <c r="C23" i="18"/>
  <c r="M23" i="18" s="1"/>
  <c r="C23" i="35"/>
  <c r="C16" i="18"/>
  <c r="C16" i="35"/>
  <c r="C29" i="18"/>
  <c r="C29" i="35"/>
  <c r="C108" i="18"/>
  <c r="M108" i="18" s="1"/>
  <c r="C108" i="35"/>
  <c r="C89" i="18"/>
  <c r="M89" i="18" s="1"/>
  <c r="C89" i="35"/>
  <c r="C49" i="18"/>
  <c r="M49" i="18" s="1"/>
  <c r="C49" i="35"/>
  <c r="C75" i="18"/>
  <c r="M75" i="18" s="1"/>
  <c r="C75" i="35"/>
  <c r="C36" i="18"/>
  <c r="M36" i="18" s="1"/>
  <c r="C36" i="35"/>
  <c r="C81" i="18"/>
  <c r="C81" i="35"/>
  <c r="C99" i="18"/>
  <c r="C99" i="35"/>
  <c r="C105" i="18"/>
  <c r="C105" i="35"/>
  <c r="C41" i="18"/>
  <c r="C41" i="35"/>
  <c r="C10" i="18"/>
  <c r="M10" i="18" s="1"/>
  <c r="C10" i="35"/>
  <c r="C107" i="18"/>
  <c r="M107" i="18" s="1"/>
  <c r="C107" i="35"/>
  <c r="K37" i="18"/>
  <c r="K29" i="18"/>
  <c r="C13" i="18"/>
  <c r="M13" i="18" s="1"/>
  <c r="C13" i="35"/>
  <c r="C17" i="18"/>
  <c r="M17" i="18" s="1"/>
  <c r="C17" i="35"/>
  <c r="C35" i="18"/>
  <c r="C35" i="35"/>
  <c r="C14" i="18"/>
  <c r="M14" i="18" s="1"/>
  <c r="C14" i="35"/>
  <c r="C43" i="18"/>
  <c r="C43" i="35"/>
  <c r="C72" i="18"/>
  <c r="C72" i="35"/>
  <c r="C98" i="18"/>
  <c r="M98" i="18" s="1"/>
  <c r="C98" i="35"/>
  <c r="C50" i="18"/>
  <c r="C50" i="35"/>
  <c r="C88" i="18"/>
  <c r="M88" i="18" s="1"/>
  <c r="C88" i="35"/>
  <c r="C71" i="18"/>
  <c r="C71" i="35"/>
  <c r="C93" i="18"/>
  <c r="M93" i="18" s="1"/>
  <c r="C93" i="35"/>
  <c r="C33" i="18"/>
  <c r="M33" i="18" s="1"/>
  <c r="C33" i="35"/>
  <c r="C53" i="18"/>
  <c r="M53" i="18" s="1"/>
  <c r="C53" i="35"/>
  <c r="C95" i="18"/>
  <c r="C95" i="35"/>
  <c r="C69" i="18"/>
  <c r="C69" i="35"/>
  <c r="C86" i="18"/>
  <c r="M86" i="18" s="1"/>
  <c r="C86" i="35"/>
  <c r="C27" i="18"/>
  <c r="C27" i="35"/>
  <c r="C59" i="18"/>
  <c r="C59" i="35"/>
  <c r="C15" i="18"/>
  <c r="M15" i="18" s="1"/>
  <c r="C15" i="35"/>
  <c r="C19" i="18"/>
  <c r="M19" i="18" s="1"/>
  <c r="C19" i="35"/>
  <c r="C83" i="18"/>
  <c r="C83" i="35"/>
  <c r="C63" i="18"/>
  <c r="M63" i="18" s="1"/>
  <c r="C63" i="35"/>
  <c r="C42" i="18"/>
  <c r="C42" i="35"/>
  <c r="C22" i="18"/>
  <c r="M22" i="18" s="1"/>
  <c r="C22" i="35"/>
  <c r="C67" i="18"/>
  <c r="C67" i="35"/>
  <c r="C76" i="18"/>
  <c r="M76" i="18" s="1"/>
  <c r="C76" i="35"/>
  <c r="C85" i="18"/>
  <c r="M85" i="18" s="1"/>
  <c r="C85" i="35"/>
  <c r="C94" i="18"/>
  <c r="M94" i="18" s="1"/>
  <c r="C94" i="35"/>
  <c r="C26" i="18"/>
  <c r="C26" i="35"/>
  <c r="C34" i="18"/>
  <c r="M34" i="18" s="1"/>
  <c r="C34" i="35"/>
  <c r="C46" i="18"/>
  <c r="M46" i="18" s="1"/>
  <c r="C46" i="35"/>
  <c r="C54" i="18"/>
  <c r="M54" i="18" s="1"/>
  <c r="C54" i="35"/>
  <c r="C62" i="18"/>
  <c r="C62" i="35"/>
  <c r="C65" i="18"/>
  <c r="C65" i="35"/>
  <c r="C74" i="18"/>
  <c r="M74" i="18" s="1"/>
  <c r="C74" i="35"/>
  <c r="C82" i="18"/>
  <c r="C82" i="35"/>
  <c r="C92" i="18"/>
  <c r="M92" i="18" s="1"/>
  <c r="C92" i="35"/>
  <c r="C100" i="18"/>
  <c r="M100" i="18" s="1"/>
  <c r="C100" i="35"/>
  <c r="C32" i="18"/>
  <c r="M32" i="18" s="1"/>
  <c r="C32" i="35"/>
  <c r="C44" i="18"/>
  <c r="M44" i="18" s="1"/>
  <c r="C44" i="35"/>
  <c r="C52" i="18"/>
  <c r="C52" i="35"/>
  <c r="C60" i="18"/>
  <c r="C60" i="35"/>
  <c r="C18" i="18"/>
  <c r="M18" i="18" s="1"/>
  <c r="C18" i="35"/>
  <c r="C12" i="18"/>
  <c r="M12" i="18" s="1"/>
  <c r="C12" i="35"/>
  <c r="C21" i="18"/>
  <c r="M21" i="18" s="1"/>
  <c r="C21" i="35"/>
  <c r="C97" i="18"/>
  <c r="M97" i="18" s="1"/>
  <c r="C97" i="35"/>
  <c r="C106" i="18"/>
  <c r="M106" i="18" s="1"/>
  <c r="C106" i="35"/>
  <c r="C79" i="18"/>
  <c r="M79" i="18" s="1"/>
  <c r="C79" i="35"/>
  <c r="C39" i="18"/>
  <c r="M39" i="18" s="1"/>
  <c r="C39" i="35"/>
  <c r="C57" i="18"/>
  <c r="M57" i="18" s="1"/>
  <c r="C57" i="35"/>
  <c r="C66" i="18"/>
  <c r="C66" i="35"/>
  <c r="C84" i="18"/>
  <c r="M84" i="18" s="1"/>
  <c r="C84" i="35"/>
  <c r="C101" i="18"/>
  <c r="M101" i="18" s="1"/>
  <c r="C101" i="35"/>
  <c r="C45" i="18"/>
  <c r="M45" i="18" s="1"/>
  <c r="C45" i="35"/>
  <c r="C61" i="18"/>
  <c r="M61" i="18" s="1"/>
  <c r="C61" i="35"/>
  <c r="C77" i="18"/>
  <c r="M77" i="18" s="1"/>
  <c r="C77" i="35"/>
  <c r="C47" i="18"/>
  <c r="M47" i="18" s="1"/>
  <c r="C47" i="35"/>
  <c r="C68" i="18"/>
  <c r="M68" i="18" s="1"/>
  <c r="C68" i="35"/>
  <c r="C31" i="18"/>
  <c r="M31" i="18" s="1"/>
  <c r="C31" i="35"/>
  <c r="C55" i="18"/>
  <c r="M55" i="18" s="1"/>
  <c r="C55" i="35"/>
  <c r="C51" i="18"/>
  <c r="M51" i="18" s="1"/>
  <c r="C51" i="35"/>
  <c r="C91" i="18"/>
  <c r="M91" i="18" s="1"/>
  <c r="C91" i="35"/>
  <c r="C73" i="18"/>
  <c r="M73" i="18" s="1"/>
  <c r="C73" i="35"/>
  <c r="F110" i="35"/>
  <c r="F113" i="35"/>
  <c r="C37" i="18"/>
  <c r="M37" i="18" s="1"/>
  <c r="J67" i="26"/>
  <c r="K58" i="18"/>
  <c r="K52" i="18"/>
  <c r="K40" i="18"/>
  <c r="K38" i="18"/>
  <c r="K30" i="18"/>
  <c r="K28" i="18"/>
  <c r="E64" i="35"/>
  <c r="H114" i="18"/>
  <c r="H110" i="18"/>
  <c r="E102" i="18"/>
  <c r="G110" i="18"/>
  <c r="F102" i="18"/>
  <c r="K26" i="18"/>
  <c r="F64" i="18"/>
  <c r="M105" i="18"/>
  <c r="E64" i="18"/>
  <c r="K66" i="18"/>
  <c r="M69" i="18"/>
  <c r="M67" i="18"/>
  <c r="M72" i="18"/>
  <c r="M70" i="18"/>
  <c r="K83" i="18"/>
  <c r="E121" i="13"/>
  <c r="M60" i="18"/>
  <c r="M27" i="18"/>
  <c r="M99" i="18"/>
  <c r="M59" i="18"/>
  <c r="M43" i="18"/>
  <c r="M50" i="18"/>
  <c r="M96" i="18"/>
  <c r="M56" i="18"/>
  <c r="M95" i="18"/>
  <c r="M35" i="18"/>
  <c r="D105" i="26"/>
  <c r="M62" i="18"/>
  <c r="M65" i="18"/>
  <c r="M16" i="18"/>
  <c r="M78" i="18"/>
  <c r="M71" i="18"/>
  <c r="E163" i="17"/>
  <c r="O121" i="13"/>
  <c r="D67" i="26"/>
  <c r="M42" i="18"/>
  <c r="L121" i="13"/>
  <c r="D67" i="13"/>
  <c r="K154" i="17"/>
  <c r="K163" i="17" s="1"/>
  <c r="H136" i="17"/>
  <c r="D126" i="13"/>
  <c r="D105" i="13"/>
  <c r="H131" i="17"/>
  <c r="D121" i="7"/>
  <c r="E116" i="35" s="1"/>
  <c r="M41" i="18"/>
  <c r="C87" i="18"/>
  <c r="M87" i="18" s="1"/>
  <c r="F121" i="26"/>
  <c r="D121" i="12"/>
  <c r="D28" i="13"/>
  <c r="D160" i="17" s="1"/>
  <c r="D149" i="12"/>
  <c r="K114" i="18" l="1"/>
  <c r="M82" i="18"/>
  <c r="E110" i="18"/>
  <c r="M83" i="18"/>
  <c r="C109" i="18"/>
  <c r="C25" i="18"/>
  <c r="F114" i="18"/>
  <c r="D124" i="13"/>
  <c r="F116" i="35"/>
  <c r="F120" i="35" s="1"/>
  <c r="M52" i="18"/>
  <c r="M66" i="18"/>
  <c r="M29" i="18"/>
  <c r="C64" i="18"/>
  <c r="M81" i="18"/>
  <c r="M38" i="18"/>
  <c r="M28" i="18"/>
  <c r="M58" i="18"/>
  <c r="M40" i="18"/>
  <c r="M30" i="18"/>
  <c r="E110" i="35"/>
  <c r="E113" i="35"/>
  <c r="E120" i="35" s="1"/>
  <c r="D121" i="26"/>
  <c r="D158" i="17" s="1"/>
  <c r="D163" i="17" s="1"/>
  <c r="M26" i="18"/>
  <c r="C102" i="35"/>
  <c r="C64" i="35"/>
  <c r="C25" i="35"/>
  <c r="C109" i="35"/>
  <c r="E114" i="18"/>
  <c r="F110" i="18"/>
  <c r="C102" i="18"/>
  <c r="D123" i="13"/>
  <c r="D128" i="13" s="1"/>
  <c r="E168" i="17"/>
  <c r="F158" i="17"/>
  <c r="F163" i="17" s="1"/>
  <c r="F168" i="17" s="1"/>
  <c r="H139" i="17"/>
  <c r="D121" i="13"/>
  <c r="D165" i="17" s="1"/>
  <c r="M114" i="18" l="1"/>
  <c r="C114" i="18"/>
  <c r="C110" i="35"/>
  <c r="C113" i="35"/>
  <c r="C110" i="18"/>
  <c r="D168" i="17"/>
</calcChain>
</file>

<file path=xl/comments1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10.xml><?xml version="1.0" encoding="utf-8"?>
<comments xmlns="http://schemas.openxmlformats.org/spreadsheetml/2006/main">
  <authors>
    <author xml:space="preserve"> </author>
  </authors>
  <commentList>
    <comment ref="D2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 el presupuesto de jose</t>
        </r>
      </text>
    </comment>
    <comment ref="E3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faltan 250,000.00</t>
        </r>
      </text>
    </comment>
    <comment ref="E34" authorId="0" shapeId="0">
      <text>
        <r>
          <rPr>
            <b/>
            <sz val="11"/>
            <color indexed="81"/>
            <rFont val="Tahoma"/>
            <family val="2"/>
          </rPr>
          <t xml:space="preserve"> para desarrollo academico</t>
        </r>
      </text>
    </comment>
    <comment ref="F3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desarrollo academico</t>
        </r>
      </text>
    </comment>
    <comment ref="F37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asignarle 10,000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comments11.xml><?xml version="1.0" encoding="utf-8"?>
<comments xmlns="http://schemas.openxmlformats.org/spreadsheetml/2006/main">
  <authors>
    <author xml:space="preserve"> </author>
  </authors>
  <commentList>
    <comment ref="D2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 el presupuesto de jose</t>
        </r>
      </text>
    </comment>
    <comment ref="E3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faltan 250,000.00</t>
        </r>
      </text>
    </comment>
    <comment ref="E34" authorId="0" shapeId="0">
      <text>
        <r>
          <rPr>
            <b/>
            <sz val="11"/>
            <color indexed="81"/>
            <rFont val="Tahoma"/>
            <family val="2"/>
          </rPr>
          <t xml:space="preserve"> para desarrollo academico</t>
        </r>
      </text>
    </comment>
    <comment ref="F3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desarrollo academico</t>
        </r>
      </text>
    </comment>
    <comment ref="F37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asignarle 10,000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comments12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H8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puede reducir a 200,000 si unicamente se gastó en talleres extracrurriculares. Analizar partida para ver en cuanto se puede reducir</t>
        </r>
      </text>
    </comment>
    <comment ref="G10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requieren 60,000.00 para visitas a empresas</t>
        </r>
      </text>
    </comment>
  </commentList>
</comments>
</file>

<file path=xl/comments13.xml><?xml version="1.0" encoding="utf-8"?>
<comments xmlns="http://schemas.openxmlformats.org/spreadsheetml/2006/main">
  <authors>
    <author xml:space="preserve"> </author>
  </authors>
  <commentList>
    <comment ref="D2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 el presupuesto de jose</t>
        </r>
      </text>
    </comment>
    <comment ref="E3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faltan 250,000.00</t>
        </r>
      </text>
    </comment>
    <comment ref="E34" authorId="0" shapeId="0">
      <text>
        <r>
          <rPr>
            <b/>
            <sz val="11"/>
            <color indexed="81"/>
            <rFont val="Tahoma"/>
            <family val="2"/>
          </rPr>
          <t xml:space="preserve"> para desarrollo academico</t>
        </r>
      </text>
    </comment>
    <comment ref="F3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desarrollo academico</t>
        </r>
      </text>
    </comment>
    <comment ref="F37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asignarle 10,000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comments14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H8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puede reducir a 200,000 si unicamente se gastó en talleres extracrurriculares. Analizar partida para ver en cuanto se puede reducir</t>
        </r>
      </text>
    </comment>
    <comment ref="G10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requieren 60,000.00 para visitas a empresas</t>
        </r>
      </text>
    </comment>
  </commentList>
</comments>
</file>

<file path=xl/comments15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H8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puede reducir a 200,000 si unicamente se gastó en talleres extracrurriculares. Analizar partida para ver en cuanto se puede reducir</t>
        </r>
      </text>
    </comment>
    <comment ref="G10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requieren 60,000.00 para visitas a empresas</t>
        </r>
      </text>
    </comment>
  </commentList>
</comments>
</file>

<file path=xl/comments16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H8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puede reducir a 200,000 si unicamente se gastó en talleres extracrurriculares. Analizar partida para ver en cuanto se puede reducir</t>
        </r>
      </text>
    </comment>
    <comment ref="G10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requieren 60,000.00 para visitas a empresas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D5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reasignaron 21000</t>
        </r>
      </text>
    </comment>
    <comment ref="D7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transfirieron 21000 de vestuario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L38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ajuste presupuesto federal para material del socabon, ver depto</t>
        </r>
      </text>
    </comment>
    <comment ref="J4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ajuste presupuestal federal finales mayo para plafones
</t>
        </r>
      </text>
    </comment>
    <comment ref="L4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L45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L4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D5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reasignaron 21000</t>
        </r>
      </text>
    </comment>
    <comment ref="N6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C7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transfirienron 21,000 de vestuario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M7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N8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K9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L9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ver a que depto se asignan</t>
        </r>
      </text>
    </comment>
    <comment ref="A9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Estamal la partida, deberia ser 3611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G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tenia 500,000 se pasaron al mil</t>
        </r>
      </text>
    </comment>
    <comment ref="I5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ELIMINARON 20000</t>
        </r>
      </text>
    </comment>
    <comment ref="D6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QUITARON 15000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E86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subir 71602.54 al 1000</t>
        </r>
      </text>
    </comment>
    <comment ref="G10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quitar 40,000 y subirlos al 1000</t>
        </r>
      </text>
    </comment>
    <comment ref="F108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sistema de credencializaciòn</t>
        </r>
      </text>
    </comment>
    <comment ref="H108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firewall</t>
        </r>
      </text>
    </comment>
    <comment ref="I108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impresoras</t>
        </r>
      </text>
    </comment>
    <comment ref="F10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GASTOS PENDIENTES DEL SISTEMA DE RIEGO</t>
        </r>
      </text>
    </comment>
    <comment ref="G10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sistema de rieg</t>
        </r>
      </text>
    </comment>
    <comment ref="F11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empress
subir 33000 al 1000
</t>
        </r>
      </text>
    </comment>
    <comment ref="G11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subirlo todo al 1000</t>
        </r>
      </text>
    </comment>
    <comment ref="I11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antivirus
subirlo todo al 1000
</t>
        </r>
      </text>
    </comment>
    <comment ref="M11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conect 21
 subirlo todo al 1000</t>
        </r>
      </text>
    </comment>
    <comment ref="M115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conect 21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D2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 el presupuesto de jose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comments8.xml><?xml version="1.0" encoding="utf-8"?>
<comments xmlns="http://schemas.openxmlformats.org/spreadsheetml/2006/main">
  <authors>
    <author xml:space="preserve"> </author>
  </authors>
  <commentList>
    <comment ref="E3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faltan 250,000.00</t>
        </r>
      </text>
    </comment>
    <comment ref="E34" authorId="0" shapeId="0">
      <text>
        <r>
          <rPr>
            <b/>
            <sz val="11"/>
            <color indexed="81"/>
            <rFont val="Tahoma"/>
            <family val="2"/>
          </rPr>
          <t xml:space="preserve"> para desarrollo academico</t>
        </r>
      </text>
    </comment>
    <comment ref="F3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desarrollo academico</t>
        </r>
      </text>
    </comment>
    <comment ref="F37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asignarle 10,000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comments9.xml><?xml version="1.0" encoding="utf-8"?>
<comments xmlns="http://schemas.openxmlformats.org/spreadsheetml/2006/main">
  <authors>
    <author xml:space="preserve"> </author>
  </authors>
  <commentList>
    <comment ref="D2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 el presupuesto de jose</t>
        </r>
      </text>
    </comment>
    <comment ref="E31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H3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faltan 250,000.00</t>
        </r>
      </text>
    </comment>
    <comment ref="E34" authorId="0" shapeId="0">
      <text>
        <r>
          <rPr>
            <b/>
            <sz val="11"/>
            <color indexed="81"/>
            <rFont val="Tahoma"/>
            <family val="2"/>
          </rPr>
          <t xml:space="preserve"> para desarrollo academico</t>
        </r>
      </text>
    </comment>
    <comment ref="F34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desarrollo academico</t>
        </r>
      </text>
    </comment>
    <comment ref="F37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asignarle 10,000</t>
        </r>
      </text>
    </comment>
    <comment ref="E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electro, alimentarias, inovacion
</t>
        </r>
      </text>
    </comment>
    <comment ref="F5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inovacion agricola</t>
        </r>
      </text>
    </comment>
    <comment ref="E6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electromecanica, alimentarias e inovacion
</t>
        </r>
      </text>
    </comment>
    <comment ref="E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F6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alimentarias, electro, innovacion</t>
        </r>
      </text>
    </comment>
    <comment ref="E7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para jose andrade</t>
        </r>
      </text>
    </comment>
    <comment ref="A75" authorId="0" shapeId="0">
      <text>
        <r>
          <rPr>
            <b/>
            <sz val="11"/>
            <color indexed="81"/>
            <rFont val="Tahoma"/>
            <family val="2"/>
          </rPr>
          <t>se puso mobiliario en lugar de maquinaria</t>
        </r>
      </text>
    </comment>
    <comment ref="F80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docentes, inovacion, electro, alimentarias</t>
        </r>
      </text>
    </comment>
    <comment ref="F82" authorId="0" shapeId="0">
      <text>
        <r>
          <rPr>
            <b/>
            <sz val="11"/>
            <color indexed="81"/>
            <rFont val="Tahoma"/>
            <family val="2"/>
          </rPr>
          <t xml:space="preserve"> : servicios escolares</t>
        </r>
      </text>
    </comment>
    <comment ref="F92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48,000</t>
        </r>
      </text>
    </comment>
    <comment ref="F93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se necesitan otros 50,000</t>
        </r>
      </text>
    </comment>
    <comment ref="G99" authorId="0" shapeId="0">
      <text>
        <r>
          <rPr>
            <b/>
            <sz val="11"/>
            <color indexed="81"/>
            <rFont val="Tahoma"/>
            <family val="2"/>
          </rPr>
          <t xml:space="preserve"> :</t>
        </r>
        <r>
          <rPr>
            <sz val="11"/>
            <color indexed="81"/>
            <rFont val="Tahoma"/>
            <family val="2"/>
          </rPr>
          <t xml:space="preserve">
jose, maciel jenny</t>
        </r>
      </text>
    </comment>
    <comment ref="G104" authorId="0" shapeId="0">
      <text>
        <r>
          <rPr>
            <b/>
            <sz val="11"/>
            <color indexed="81"/>
            <rFont val="Tahoma"/>
            <family val="2"/>
          </rPr>
          <t xml:space="preserve"> :se ocupan 35,000</t>
        </r>
      </text>
    </comment>
  </commentList>
</comments>
</file>

<file path=xl/sharedStrings.xml><?xml version="1.0" encoding="utf-8"?>
<sst xmlns="http://schemas.openxmlformats.org/spreadsheetml/2006/main" count="2204" uniqueCount="282">
  <si>
    <t>PROYECTO ó PROCESO</t>
  </si>
  <si>
    <t>UNIDAD EJECUTORA DE GASTO</t>
  </si>
  <si>
    <t>DESCRIPCIÓN</t>
  </si>
  <si>
    <t>IMPORTE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</si>
  <si>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</si>
  <si>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</si>
  <si>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</si>
  <si>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</si>
  <si>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</si>
  <si>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</si>
  <si>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</si>
  <si>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</si>
  <si>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</si>
  <si>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</si>
  <si>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</si>
  <si>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</si>
  <si>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CAPÍTULO 1000 Servicios Presonales</t>
  </si>
  <si>
    <t>TOTAL CAPÍTULO 2000 Materiales y Suministros</t>
  </si>
  <si>
    <t>TOTAL CAPÍTULO 3000 Servicios Generales</t>
  </si>
  <si>
    <t>SUMAS</t>
  </si>
  <si>
    <t>PRESUPUESTACIÓN Y CALENDARIZACIÓN DE RECURSOS</t>
  </si>
  <si>
    <t>DEST</t>
  </si>
  <si>
    <t>DEPENDENCIA / ORGANISMO</t>
  </si>
  <si>
    <t>OPERACIÓN DEL INSTITUTO TECNOLOGICO SUPERIOR DE TAMAZULA DE GORDIANO</t>
  </si>
  <si>
    <t>INSTITUTO TECNOLOGICO SUPERIOR DE TAMAZULA DE GORDIANO</t>
  </si>
  <si>
    <t>PTDA</t>
  </si>
  <si>
    <t>CALENDARIZACIÓN 2012</t>
  </si>
  <si>
    <t>Justificación del recurso</t>
  </si>
  <si>
    <t>Sueldo base</t>
  </si>
  <si>
    <t>Honorarios asimilables a salarios</t>
  </si>
  <si>
    <t>Prima quinquenal por años de servicio efectivos prestados</t>
  </si>
  <si>
    <t>Prima vacacional y dominical</t>
  </si>
  <si>
    <t>Aguinaldo</t>
  </si>
  <si>
    <t>Compensaciones para material didáctico</t>
  </si>
  <si>
    <t>Cuotas al IMSS por enfermedades y maternidad</t>
  </si>
  <si>
    <t>Cuotas para la vivienda</t>
  </si>
  <si>
    <t>Cuotas a pensiones</t>
  </si>
  <si>
    <t>Cuotas para el sistema de ahorro para el retiro SAR</t>
  </si>
  <si>
    <t>Estímulos para el personal</t>
  </si>
  <si>
    <t>Estímulo por el día del servidor público</t>
  </si>
  <si>
    <t>Otros Estímulos</t>
  </si>
  <si>
    <t>Ayuda para despensa</t>
  </si>
  <si>
    <t>Materiales útiles y equipos menores de oficina</t>
  </si>
  <si>
    <t>Materiales, útiles y equipos menores de tecnologías de la información y
comunicación</t>
  </si>
  <si>
    <t>Material impreso e información digital</t>
  </si>
  <si>
    <t>Material de limpieza</t>
  </si>
  <si>
    <t>Material didactico</t>
  </si>
  <si>
    <t>Alimentación para servidores públicos estatales</t>
  </si>
  <si>
    <t>Alimentación de animales</t>
  </si>
  <si>
    <t>Utensilios para el servicio de alimentación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</si>
  <si>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</si>
  <si>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</si>
  <si>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</si>
  <si>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</si>
  <si>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</si>
  <si>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electrico y electronico</t>
  </si>
  <si>
    <t>Artículos Metálicos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</si>
  <si>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</si>
  <si>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</si>
  <si>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</si>
  <si>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</si>
  <si>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</si>
  <si>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</si>
  <si>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</si>
  <si>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plasticos y derivados</t>
  </si>
  <si>
    <t>Otros productos químicos</t>
  </si>
  <si>
    <t>Combustibles</t>
  </si>
  <si>
    <t>Lubricantes y aditivos</t>
  </si>
  <si>
    <t>Vestuario y uniformes</t>
  </si>
  <si>
    <t>Prendas de seguridad y protección personal</t>
  </si>
  <si>
    <t>Artículos deportivos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</si>
  <si>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</si>
  <si>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</si>
  <si>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</si>
  <si>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computo y tecnologías de información</t>
  </si>
  <si>
    <t>Refacciones y accesorios menores de equipo e instrumental medico y de laboratorio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</si>
  <si>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</si>
  <si>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</si>
  <si>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</si>
  <si>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PAGO DE GASTO DE OPERACIÓN DEL ITS</t>
  </si>
  <si>
    <t>Energía Eléctrica</t>
  </si>
  <si>
    <t>Gas</t>
  </si>
  <si>
    <t>Telefonía tradicional</t>
  </si>
  <si>
    <t>Telefonía celular</t>
  </si>
  <si>
    <t>Servicios de Acceso de Internet, Redesy Procesamiento de Información</t>
  </si>
  <si>
    <t>Servicio Postal</t>
  </si>
  <si>
    <t>Arrendamientos de edificios y locales</t>
  </si>
  <si>
    <t>Arrendamiento de mobiliario y equipo</t>
  </si>
  <si>
    <t>Arrendamiento de maquinaria otros equipos y maquinaria</t>
  </si>
  <si>
    <t>Servicios legales, de contabilidad, auditoría y relacionados</t>
  </si>
  <si>
    <t>Servicios de Consultoria administrativa, procesos, tecnica y TI</t>
  </si>
  <si>
    <t>Capacitación institucional</t>
  </si>
  <si>
    <t>Capacitación especializada</t>
  </si>
  <si>
    <t>Servicios de apoyo administrativo, fotocopiado</t>
  </si>
  <si>
    <t>Impresiones de papeleria oficial</t>
  </si>
  <si>
    <t>Servicios de vigilancia</t>
  </si>
  <si>
    <t>Servicios profesionales, científicos y técnicos integrales</t>
  </si>
  <si>
    <t>Servicios financieros y bancarios</t>
  </si>
  <si>
    <t>Seguros de bienes patrimoniales</t>
  </si>
  <si>
    <t>fletes y maniobras</t>
  </si>
  <si>
    <t>Conservacion y mantenimiento menor de inmuebles</t>
  </si>
  <si>
    <t>Instalacion, reparación y mantenimiento de equipo de computo y tecnologías de la información</t>
  </si>
  <si>
    <t>Instalacion, reparación y mantenimiento de equipo e instrumenteal médico y de laboratorio</t>
  </si>
  <si>
    <t>Reparación y mantenimiento de equipo de transporte</t>
  </si>
  <si>
    <t>Instalación, reparacion y mantenimiento de maquinaria, otros equipos y herramienta</t>
  </si>
  <si>
    <t>Mantenimineto y conservación de maquinaria y equipo de trabajo específico</t>
  </si>
  <si>
    <t>Servicios de limpieza y manejo de desechos</t>
  </si>
  <si>
    <t>Servicios de jardineria y fumigación</t>
  </si>
  <si>
    <t>Difusión por radio, televisión y otros medios de mensajes comerciales para promover la venta de bienes o servicios</t>
  </si>
  <si>
    <t>Pasajes Aéreos</t>
  </si>
  <si>
    <t>Pasajes Terrestres</t>
  </si>
  <si>
    <t>Viáticos en el país</t>
  </si>
  <si>
    <t>Traslado de personal</t>
  </si>
  <si>
    <t>Gastos de orden social</t>
  </si>
  <si>
    <t>Gastos de orden cultural</t>
  </si>
  <si>
    <t>Otros servicios de traslado y hospedaje</t>
  </si>
  <si>
    <t>Impuestos y derechos</t>
  </si>
  <si>
    <t>TOTAL CAPÍTULO 4000 Transferencias, Subsidios, Subvenciones, Pensiones y Jubilaciones</t>
  </si>
  <si>
    <t>TOTAL CAPÍTULO 5000 Bienes Muebles e Inmuebles</t>
  </si>
  <si>
    <t>TOTAL CAPÍTULO 6000 Inversión Publica</t>
  </si>
  <si>
    <t>TOTAL CAPÍTULO 9000 Deuda Publica</t>
  </si>
  <si>
    <t>Impacto al salario</t>
  </si>
  <si>
    <t>Erogaciones Contingentes</t>
  </si>
  <si>
    <t>Materiales y ùtiles de impresion y reproducción</t>
  </si>
  <si>
    <t xml:space="preserve">ESTATAL </t>
  </si>
  <si>
    <t>FEDERAL</t>
  </si>
  <si>
    <t>INGRESOS PROPIOS</t>
  </si>
  <si>
    <t>REMANENTES</t>
  </si>
  <si>
    <t>desarrollo academico</t>
  </si>
  <si>
    <t>LIC. ROGELIO RAMIREZ MORENO</t>
  </si>
  <si>
    <t>JEFE DE PLANEACIÓN</t>
  </si>
  <si>
    <t>LIC. MIGUEL ANGEL NORATO VALENCIA</t>
  </si>
  <si>
    <t>SUBDIRECTOR ADMINISTRATIVO</t>
  </si>
  <si>
    <t>DR. FEDERICO DANIEL GARZA GARCIA</t>
  </si>
  <si>
    <t>DIRECTOR DEL ITS TAMAZULA DE GORDIANO</t>
  </si>
  <si>
    <t>PRESUPUESTACIÓN Y CALENDARIZACIÓN DE RECURSOS ESTATALES</t>
  </si>
  <si>
    <t>PRESUPUESTACIÓN Y CALENDARIZACIÓN DE RECURSOS FEDERALES</t>
  </si>
  <si>
    <t>PRESUPUESTACIÓN Y CALENDARIZACIÓN DE RECURSOS DE INGRESOS PROPIOS</t>
  </si>
  <si>
    <t>OPERACIÓN DE SERVICIOS ESCOLARES</t>
  </si>
  <si>
    <t>OPERACIÓN DE DESARROLLO ACADEMICO</t>
  </si>
  <si>
    <t>OPERACIÓN DE CALIDAD</t>
  </si>
  <si>
    <t>OPERACIÓN DE ADMINISTRACIÓN DE RECURSOS</t>
  </si>
  <si>
    <t>LIC. ROGELIO RAMÍREZ MORENO</t>
  </si>
  <si>
    <t>DIRECTOR GENERAL</t>
  </si>
  <si>
    <t>Equipo de computo y tecnología de la información</t>
  </si>
  <si>
    <t>Software</t>
  </si>
  <si>
    <t>Maquinaria y equipo agropecuario</t>
  </si>
  <si>
    <t>o</t>
  </si>
  <si>
    <t>PRESUPUESTACIÓN Y CALENDARIZACIÓN DE REMANENTES 2012</t>
  </si>
  <si>
    <t>Maquinaria y equipo industrial</t>
  </si>
  <si>
    <t>estatal total</t>
  </si>
  <si>
    <t>federal total</t>
  </si>
  <si>
    <t>ingresos propios total</t>
  </si>
  <si>
    <t>remanentes total</t>
  </si>
  <si>
    <t>Erogaciones contingentes</t>
  </si>
  <si>
    <t>suma remanentes</t>
  </si>
  <si>
    <t>Electromecanica</t>
  </si>
  <si>
    <t>Alimentarias</t>
  </si>
  <si>
    <t>Inovacion agricola</t>
  </si>
  <si>
    <t>Servicios escolares</t>
  </si>
  <si>
    <t>academico totalizado</t>
  </si>
  <si>
    <t>academico totalizado hoja</t>
  </si>
  <si>
    <t>Vinculación</t>
  </si>
  <si>
    <t>Planeacion</t>
  </si>
  <si>
    <t>Calidad</t>
  </si>
  <si>
    <t>Admon Recursos</t>
  </si>
  <si>
    <t>repartido</t>
  </si>
  <si>
    <t>por asignar</t>
  </si>
  <si>
    <t>PRESUPUESTO ESTATAL</t>
  </si>
  <si>
    <t>PRESUPUESTO FEDERAL</t>
  </si>
  <si>
    <t>SUMAS DE TOTALES</t>
  </si>
  <si>
    <t>SUMA DE DEPARTAMENTOS</t>
  </si>
  <si>
    <t>ESTATAL</t>
  </si>
  <si>
    <t>MAS CAPITULO 1000</t>
  </si>
  <si>
    <t>DIFERENCIA</t>
  </si>
  <si>
    <t>PRESPUESTO TOTAL SUMADO</t>
  </si>
  <si>
    <t>PRESUPUESTO TOTALIZADO</t>
  </si>
  <si>
    <t>ROGELIO RAMIREZ MORENO</t>
  </si>
  <si>
    <t>ARREGLAR ESTE PRESUPUESTO</t>
  </si>
  <si>
    <t>mantenimiento</t>
  </si>
  <si>
    <t>reactivos</t>
  </si>
  <si>
    <r>
      <t xml:space="preserve">Autorizado Federal :   </t>
    </r>
    <r>
      <rPr>
        <u/>
        <sz val="8"/>
        <rFont val="Arial"/>
        <family val="2"/>
      </rPr>
      <t>$1,506,158.00</t>
    </r>
  </si>
  <si>
    <r>
      <t xml:space="preserve">Saldo a favor del ITS para dar suficiencia a partidas del capitulo  2000 y 3000      :   </t>
    </r>
    <r>
      <rPr>
        <u/>
        <sz val="8"/>
        <rFont val="Arial"/>
        <family val="2"/>
      </rPr>
      <t>$228,602.54</t>
    </r>
  </si>
  <si>
    <r>
      <t>Presupuesto original sin el 4% :  $</t>
    </r>
    <r>
      <rPr>
        <u/>
        <sz val="8"/>
        <rFont val="Arial"/>
        <family val="2"/>
      </rPr>
      <t>6,024,631.38</t>
    </r>
  </si>
  <si>
    <t>Se agregaron 10,000 para mantenimiento de baños</t>
  </si>
  <si>
    <t>Se agregaron 5,000 para mantenimiento de baños</t>
  </si>
  <si>
    <t>Se agregaron 5,000 para cambio de plafones dañados</t>
  </si>
  <si>
    <t>Se agregaron 7,000 para contratacion de maquinaria para extender el estacionamiento</t>
  </si>
  <si>
    <t>Se agregaron 3,000 para mantenimientos no especificados en las partidas anteriores</t>
  </si>
  <si>
    <r>
      <t xml:space="preserve">Se agregaron </t>
    </r>
    <r>
      <rPr>
        <u/>
        <sz val="8"/>
        <rFont val="Arial"/>
        <family val="2"/>
      </rPr>
      <t xml:space="preserve">120,000.00 </t>
    </r>
    <r>
      <rPr>
        <sz val="8"/>
        <rFont val="Arial"/>
        <family val="2"/>
      </rPr>
      <t>para mantenimiento de equipo de laboratorios de industrias Alimentarias</t>
    </r>
  </si>
  <si>
    <r>
      <t xml:space="preserve">Se agregaron $ </t>
    </r>
    <r>
      <rPr>
        <b/>
        <u/>
        <sz val="8"/>
        <rFont val="Arial"/>
        <family val="2"/>
      </rPr>
      <t xml:space="preserve">71,602.54 </t>
    </r>
    <r>
      <rPr>
        <b/>
        <sz val="8"/>
        <rFont val="Arial"/>
        <family val="2"/>
      </rPr>
      <t>de ajuste para liberación de recurso de remanentes en esta misma partida</t>
    </r>
  </si>
  <si>
    <t>Suma de capitulos 2000 y 3000</t>
  </si>
  <si>
    <r>
      <t xml:space="preserve">Presupuesto Federal anterior  ITS :  </t>
    </r>
    <r>
      <rPr>
        <u/>
        <sz val="8"/>
        <rFont val="Arial"/>
        <family val="2"/>
      </rPr>
      <t>$1,277,555.46</t>
    </r>
  </si>
  <si>
    <t>TOTAL CAPÍTULO 9000 Deuda Pública</t>
  </si>
  <si>
    <t>TOTAL CAPÍTULO 6000 Inversión Pública</t>
  </si>
  <si>
    <r>
      <t xml:space="preserve">Se agregaron </t>
    </r>
    <r>
      <rPr>
        <u/>
        <sz val="8"/>
        <rFont val="Arial"/>
        <family val="2"/>
      </rPr>
      <t>7,000</t>
    </r>
    <r>
      <rPr>
        <sz val="8"/>
        <rFont val="Arial"/>
        <family val="2"/>
      </rPr>
      <t xml:space="preserve"> para reparar el deslave del invernadero</t>
    </r>
  </si>
  <si>
    <t>Nota: Todas las partidas del capitulo 1000 ya incluyen el 4% de aumento  anual  menos la 1543 que no aplica el incremento.</t>
  </si>
  <si>
    <t>Se incluye bono por el día del servidor publico</t>
  </si>
  <si>
    <t>SECRETARIA DE INNOVACIÓN , CIENCIA Y TECNOLOGÍA</t>
  </si>
  <si>
    <t>SECRETARIA DE INNOVACIÓN, CIENCIA Y TECNOLOGÍA</t>
  </si>
  <si>
    <r>
      <t xml:space="preserve">PRESUPUESTO DE EGRESOS </t>
    </r>
    <r>
      <rPr>
        <b/>
        <sz val="18"/>
        <color theme="5" tint="-0.249977111117893"/>
        <rFont val="Arial"/>
        <family val="2"/>
      </rPr>
      <t>2013</t>
    </r>
  </si>
  <si>
    <t>Otros estimulos  y ayuda para despensa adicional al Director</t>
  </si>
  <si>
    <t>Se transfirieron $207,176 al capitulo 1000</t>
  </si>
  <si>
    <t>Se transfirieron $71,602.54 al capitulo 1000</t>
  </si>
  <si>
    <r>
      <t xml:space="preserve">ANTEPROYECTO DE PRESUPUESTO DE EGRESOS </t>
    </r>
    <r>
      <rPr>
        <b/>
        <sz val="18"/>
        <color theme="5" tint="-0.249977111117893"/>
        <rFont val="Arial"/>
        <family val="2"/>
      </rPr>
      <t>2013</t>
    </r>
  </si>
  <si>
    <r>
      <t>PROYECTO DE PRESUPUESTO DE EGRESOS</t>
    </r>
    <r>
      <rPr>
        <b/>
        <sz val="18"/>
        <color theme="5" tint="-0.249977111117893"/>
        <rFont val="Arial"/>
        <family val="2"/>
      </rPr>
      <t xml:space="preserve"> 2013</t>
    </r>
  </si>
  <si>
    <t>RECURSO REASIGNADO  PARA PAGO DE HORAS DEL NUEVO PROGRAMA DE ESTUDIOS DE INGENIERIA EN ADMINISTRACIÓN Y CURSOS DE VERANO</t>
  </si>
  <si>
    <t>se quitaron y se pasaron a libros</t>
  </si>
  <si>
    <t xml:space="preserve"> se transfirieron 71,602.54 </t>
  </si>
  <si>
    <t>se transfirieron 30000 al capitulo 1000</t>
  </si>
  <si>
    <t>se quitaron 200000 y se fueron al 1000</t>
  </si>
  <si>
    <t>se ajusto</t>
  </si>
  <si>
    <t>revisar esta cantidad en losdepartamentos para que cuadren todos las sumas</t>
  </si>
  <si>
    <t>se transfirieron 40,000 al capitulo 1000</t>
  </si>
  <si>
    <t>se le quitaron 40000</t>
  </si>
  <si>
    <t>revisar donde van los 71000</t>
  </si>
  <si>
    <t>Seajusta el presupuesto estatal al federal $6,259,558.31  considerando el 4% del incremento anual del salario</t>
  </si>
  <si>
    <t>Se presenta el presupuesto modificado en el capitulo 1000 el cual incluye una actualización del 4% que corresponde al aumento anual del incremento salarial</t>
  </si>
  <si>
    <t>El capitulo 1000 se actualizó de acuerdo al oficio no 513.1/1015/13 de la DGEST</t>
  </si>
  <si>
    <t>El capitulo 1000 se actualizó de acuerdo al oficio no 513.1/1015/13 de la DGEST donde se indica que para servicios personales se cuenta con 6,024,631.00</t>
  </si>
  <si>
    <t>Se adecuaron los capitulos 2000 y 3000 de acuuerdo al oficio   no 513.1/1015/13 de la DGEST donde se indica que se cuenta con 1,506,158.00 para gasto de operación</t>
  </si>
  <si>
    <t>por lo que a las siguientes partidas se les dio suficiencia presupuestal de acuerdo a lo siguiente:</t>
  </si>
  <si>
    <t>Partida</t>
  </si>
  <si>
    <t>Cantidad</t>
  </si>
  <si>
    <t>Justificacion</t>
  </si>
  <si>
    <r>
      <t xml:space="preserve">Se agregaron $ </t>
    </r>
    <r>
      <rPr>
        <u/>
        <sz val="8"/>
        <rFont val="Arial"/>
        <family val="2"/>
      </rPr>
      <t xml:space="preserve">71,602.54 </t>
    </r>
    <r>
      <rPr>
        <sz val="8"/>
        <rFont val="Arial"/>
        <family val="2"/>
      </rPr>
      <t>de ajuste para liberación de recurso de remanentes en esta misma partida</t>
    </r>
  </si>
  <si>
    <r>
      <t xml:space="preserve">Se agregaron </t>
    </r>
    <r>
      <rPr>
        <u/>
        <sz val="8"/>
        <rFont val="Arial"/>
        <family val="2"/>
      </rPr>
      <t>7,000</t>
    </r>
    <r>
      <rPr>
        <sz val="8"/>
        <rFont val="Arial"/>
        <family val="2"/>
      </rPr>
      <t xml:space="preserve"> para reparar el deslave del talud del invernadero</t>
    </r>
  </si>
  <si>
    <t>Se agregaron 7,000 para contratacion de maquinaria para extender el estacionamiento debido al incremento de la matrícula</t>
  </si>
  <si>
    <t>No se realizaron ajustos en los ingresos propios del ITS</t>
  </si>
  <si>
    <t>REMANENTES DEL EJERCICIO 2012</t>
  </si>
  <si>
    <t>Se ajustaron las siguientes partidas para darle suficiencia al capitulo 1000 debido al incremento de horas para la nueva carrera de ingenieria en administracion</t>
  </si>
  <si>
    <t>para los meses de Julio, Agosto, Septiembre, Octubre, Noviembre, Diciembre</t>
  </si>
  <si>
    <t>ACTUALIZACIONES AL PRESUPUESTO  2013 DEL ITS TAMAZULA DE GORDIANO</t>
  </si>
  <si>
    <t>se transfirierion 5000</t>
  </si>
  <si>
    <t>RESTA COMPROBATORIA</t>
  </si>
  <si>
    <t>TOTALES</t>
  </si>
  <si>
    <t>COMPROBACION</t>
  </si>
  <si>
    <t>PARTIDA</t>
  </si>
  <si>
    <t>COECYTJAL</t>
  </si>
  <si>
    <t>CONCENTRADO DE FUENTES DE FINANCIAMIENTO 2013</t>
  </si>
  <si>
    <t>ING. PROPIOS</t>
  </si>
  <si>
    <t>Total capítulo 1000</t>
  </si>
  <si>
    <t>Total capítulo 2000</t>
  </si>
  <si>
    <t>Total capítulo 3000</t>
  </si>
  <si>
    <t>Total capítulo 4000</t>
  </si>
  <si>
    <t>DESCRIPCION</t>
  </si>
  <si>
    <t>TOTAL</t>
  </si>
  <si>
    <t>Total capítulo 5000</t>
  </si>
  <si>
    <t>TOTAL GLOBAL</t>
  </si>
  <si>
    <t>LA SUMA DE EFGHI</t>
  </si>
  <si>
    <t>FUENTES DE FINANCIAMIENTO</t>
  </si>
  <si>
    <t>Partida Origen</t>
  </si>
  <si>
    <t>Partida Destino</t>
  </si>
  <si>
    <t>ADEUDO</t>
  </si>
  <si>
    <t>se ajusto debido al incremento en energia</t>
  </si>
  <si>
    <t>ACUERDO NO SO.18.02.13 APROBADO EN LA 18 JUNTA DIRECTIVA DEL 19  DE JULIO DEL 2013</t>
  </si>
  <si>
    <t>ACUERDO NO SO.17.03.13 APROBADO EN LA 17 JUNTA DIRECTIVA DEL 19 DE FEBRERO DEL 2013ACUERDO NO SO.18.02.13 APROBADO EN LA 18 JUNTA DIRECTIVA DEL 19  DE JULIO DEL 2013</t>
  </si>
  <si>
    <t>.</t>
  </si>
  <si>
    <t>MODIFICACION DE RECURSOS POR AJUSTES EN REMANENTES Y PRESUPUESTO FEDERAL</t>
  </si>
  <si>
    <t xml:space="preserve">                            JEFE DE PLANEACIÓN                                        SUBDIRECTOR ADMINISTRATIVO                                              DIRECTOR GENERAL</t>
  </si>
  <si>
    <t>LIC. ROGELIO RAMÍREZ MORENO                        LIC. MIGUEL ANGEL NORATO VALENCIA                       DR. FEDERICO DANIEL GARZA GARCIA</t>
  </si>
  <si>
    <t>INSTITUTO TECNOLÓGICO SUPERIOR DE TAMAZULA DE GORDIANO</t>
  </si>
  <si>
    <r>
      <t xml:space="preserve">PROYECTO CONCENTRADO DE PRESUPUESTO DE EGRESOS </t>
    </r>
    <r>
      <rPr>
        <b/>
        <sz val="18"/>
        <color theme="5" tint="-0.249977111117893"/>
        <rFont val="Arial"/>
        <family val="2"/>
      </rPr>
      <t>2013</t>
    </r>
  </si>
  <si>
    <r>
      <t xml:space="preserve">PROYECTO DE PRESUPUESTO DE EGRESOS </t>
    </r>
    <r>
      <rPr>
        <b/>
        <sz val="18"/>
        <color theme="5" tint="-0.249977111117893"/>
        <rFont val="Arial"/>
        <family val="2"/>
      </rPr>
      <t>2013</t>
    </r>
  </si>
  <si>
    <t>Suma de fuentes de financiamiento</t>
  </si>
  <si>
    <t>PRESUPUESTACIÓN DE RECURSOS POR ÁREA</t>
  </si>
  <si>
    <t>SUBDIRECCIÓN ACADÉMICA</t>
  </si>
  <si>
    <t>PROCESO</t>
  </si>
  <si>
    <t>AREA</t>
  </si>
  <si>
    <t>INGENIERIA EN INDUSTRIAS ALIMENTARIAS</t>
  </si>
  <si>
    <t>INGENIERIA ELECTROMECANICA</t>
  </si>
  <si>
    <t>INGENIERIA EN INNOVACIÓN AGRÍCOLA SUSTENTABLE</t>
  </si>
  <si>
    <t xml:space="preserve"> DEPARTAMENTO DE  VINCULACIÓN</t>
  </si>
  <si>
    <t>TOTALSUBDIRECCION ACADEMICA</t>
  </si>
  <si>
    <t>SUBDIRECCION ADMINISTRATIVA</t>
  </si>
  <si>
    <t>DEPARTAMENTO DE PLANEACIÓN</t>
  </si>
  <si>
    <t>PRESUPUESTACIÓN Y CALENDARIZACIÓN DE RECURSOS PROVENIENTES DE COECYTJAL</t>
  </si>
  <si>
    <t>SEC. FINANZAS</t>
  </si>
  <si>
    <t>JEFE DE PLANEACIÓN PROGRAMACION Y EVALUACIÓN</t>
  </si>
  <si>
    <t>LIC. MIGUEL A. NORATO VALENCIA</t>
  </si>
  <si>
    <t>L.C. SAÚL MUNGUÍA ORTÍZ</t>
  </si>
  <si>
    <t>DIRECTOR GENERAL ITS TAMAZULA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</si>
</sst>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&quot;$&quot;#,##0.00;\-&quot;$&quot;#,##0.00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  <numFmt numFmtId="169" formatCode="0000"/>
    <numFmt numFmtId="170" formatCode="00"/>
    <numFmt numFmtId="171" formatCode="_-* #,##0.00\ &quot;Pts&quot;_-;\-* #,##0.00\ &quot;Pts&quot;_-;_-* &quot;-&quot;??\ &quot;Pts&quot;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1"/>
      <color indexed="8"/>
      <name val="Calibri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rgb="FFFFFF00"/>
      <name val="Arial"/>
      <family val="2"/>
    </font>
    <font>
      <sz val="10"/>
      <color rgb="FFFFFF00"/>
      <name val="Arial"/>
      <family val="2"/>
    </font>
    <font>
      <sz val="9"/>
      <color rgb="FFFFFF00"/>
      <name val="Arial"/>
      <family val="2"/>
    </font>
    <font>
      <sz val="11"/>
      <color rgb="FFFFFF00"/>
      <name val="Arial"/>
      <family val="2"/>
    </font>
    <font>
      <b/>
      <sz val="9"/>
      <color rgb="FFFFFF00"/>
      <name val="Arial"/>
      <family val="2"/>
    </font>
    <font>
      <u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18"/>
      <color theme="5" tint="-0.249977111117893"/>
      <name val="Arial"/>
      <family val="2"/>
    </font>
    <font>
      <b/>
      <sz val="8"/>
      <color indexed="9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5" tint="-0.249977111117893"/>
      <name val="Arial"/>
      <family val="2"/>
    </font>
    <font>
      <sz val="10"/>
      <color theme="0"/>
      <name val="Arial"/>
      <family val="2"/>
    </font>
    <font>
      <b/>
      <sz val="10"/>
      <color theme="5" tint="-0.249977111117893"/>
      <name val="Arial"/>
      <family val="2"/>
    </font>
    <font>
      <sz val="10"/>
      <color theme="2" tint="-0.249977111117893"/>
      <name val="Arial"/>
      <family val="2"/>
    </font>
    <font>
      <b/>
      <sz val="10"/>
      <color theme="2" tint="-0.249977111117893"/>
      <name val="Arial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8">
    <xf numFmtId="0" fontId="0" fillId="0" borderId="0"/>
    <xf numFmtId="168" fontId="4" fillId="0" borderId="0" applyFont="0" applyFill="0" applyBorder="0" applyAlignment="0" applyProtection="0"/>
    <xf numFmtId="0" fontId="12" fillId="0" borderId="0"/>
    <xf numFmtId="9" fontId="10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4" fillId="0" borderId="0"/>
    <xf numFmtId="166" fontId="3" fillId="0" borderId="0" applyFont="0" applyFill="0" applyBorder="0" applyAlignment="0" applyProtection="0"/>
    <xf numFmtId="0" fontId="14" fillId="0" borderId="0"/>
    <xf numFmtId="0" fontId="4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7" fontId="44" fillId="0" borderId="0" applyFont="0" applyFill="0" applyBorder="0" applyAlignment="0" applyProtection="0"/>
  </cellStyleXfs>
  <cellXfs count="497">
    <xf numFmtId="0" fontId="0" fillId="0" borderId="0" xfId="0"/>
    <xf numFmtId="0" fontId="4" fillId="0" borderId="0" xfId="5" applyAlignment="1">
      <alignment horizontal="center" vertical="center"/>
    </xf>
    <xf numFmtId="0" fontId="4" fillId="0" borderId="0" xfId="5" applyAlignment="1">
      <alignment vertical="center"/>
    </xf>
    <xf numFmtId="166" fontId="4" fillId="0" borderId="0" xfId="6" applyFont="1" applyAlignment="1">
      <alignment horizontal="right" vertical="center"/>
    </xf>
    <xf numFmtId="0" fontId="4" fillId="0" borderId="0" xfId="5" applyAlignment="1">
      <alignment horizontal="right" vertical="center"/>
    </xf>
    <xf numFmtId="0" fontId="6" fillId="0" borderId="0" xfId="5" applyFont="1" applyFill="1" applyAlignment="1">
      <alignment horizontal="right" vertical="center"/>
    </xf>
    <xf numFmtId="0" fontId="11" fillId="0" borderId="0" xfId="5" applyFont="1" applyFill="1" applyAlignment="1">
      <alignment horizontal="right" vertical="center"/>
    </xf>
    <xf numFmtId="0" fontId="6" fillId="0" borderId="0" xfId="5" applyFont="1" applyFill="1" applyAlignment="1">
      <alignment vertical="center"/>
    </xf>
    <xf numFmtId="0" fontId="7" fillId="0" borderId="0" xfId="5" applyFont="1" applyFill="1" applyAlignment="1">
      <alignment vertical="center"/>
    </xf>
    <xf numFmtId="0" fontId="4" fillId="0" borderId="0" xfId="5" applyFont="1" applyAlignment="1">
      <alignment horizontal="right" vertical="center"/>
    </xf>
    <xf numFmtId="0" fontId="7" fillId="0" borderId="0" xfId="5" applyFont="1" applyFill="1" applyAlignment="1">
      <alignment horizontal="right" vertical="center"/>
    </xf>
    <xf numFmtId="0" fontId="8" fillId="0" borderId="0" xfId="5" applyFont="1" applyAlignment="1">
      <alignment vertical="center"/>
    </xf>
    <xf numFmtId="166" fontId="8" fillId="0" borderId="0" xfId="6" applyFont="1" applyAlignment="1">
      <alignment horizontal="right" vertical="center"/>
    </xf>
    <xf numFmtId="0" fontId="4" fillId="0" borderId="0" xfId="5" applyFont="1" applyBorder="1" applyAlignment="1">
      <alignment horizontal="right" vertical="center"/>
    </xf>
    <xf numFmtId="0" fontId="4" fillId="0" borderId="0" xfId="5" applyBorder="1" applyAlignment="1">
      <alignment vertical="center"/>
    </xf>
    <xf numFmtId="0" fontId="8" fillId="0" borderId="1" xfId="5" applyFont="1" applyBorder="1" applyAlignment="1">
      <alignment vertical="center"/>
    </xf>
    <xf numFmtId="166" fontId="8" fillId="0" borderId="1" xfId="6" applyFont="1" applyBorder="1" applyAlignment="1">
      <alignment horizontal="right" vertical="center"/>
    </xf>
    <xf numFmtId="0" fontId="13" fillId="3" borderId="2" xfId="5" applyFont="1" applyFill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169" fontId="4" fillId="0" borderId="2" xfId="7" applyNumberFormat="1" applyFont="1" applyFill="1" applyBorder="1" applyAlignment="1">
      <alignment horizontal="center" vertical="center"/>
    </xf>
    <xf numFmtId="166" fontId="16" fillId="0" borderId="2" xfId="6" applyNumberFormat="1" applyFont="1" applyBorder="1" applyAlignment="1">
      <alignment horizontal="right" vertical="center"/>
    </xf>
    <xf numFmtId="0" fontId="4" fillId="0" borderId="0" xfId="5" applyFont="1"/>
    <xf numFmtId="169" fontId="8" fillId="2" borderId="2" xfId="5" applyNumberFormat="1" applyFont="1" applyFill="1" applyBorder="1" applyAlignment="1">
      <alignment horizontal="center" vertical="center"/>
    </xf>
    <xf numFmtId="166" fontId="8" fillId="2" borderId="2" xfId="6" applyFont="1" applyFill="1" applyBorder="1" applyAlignment="1">
      <alignment horizontal="right" vertical="center"/>
    </xf>
    <xf numFmtId="166" fontId="8" fillId="2" borderId="2" xfId="6" applyFont="1" applyFill="1" applyBorder="1" applyAlignment="1">
      <alignment vertical="center"/>
    </xf>
    <xf numFmtId="0" fontId="8" fillId="4" borderId="2" xfId="5" applyFont="1" applyFill="1" applyBorder="1" applyAlignment="1">
      <alignment horizontal="left" vertical="center"/>
    </xf>
    <xf numFmtId="167" fontId="8" fillId="0" borderId="0" xfId="5" applyNumberFormat="1" applyFont="1" applyAlignment="1">
      <alignment vertical="center"/>
    </xf>
    <xf numFmtId="169" fontId="17" fillId="0" borderId="2" xfId="8" applyNumberFormat="1" applyFont="1" applyFill="1" applyBorder="1" applyAlignment="1">
      <alignment horizontal="center" vertical="center"/>
    </xf>
    <xf numFmtId="4" fontId="16" fillId="0" borderId="2" xfId="8" applyNumberFormat="1" applyFont="1" applyFill="1" applyBorder="1" applyAlignment="1">
      <alignment horizontal="right" vertical="center" wrapText="1"/>
    </xf>
    <xf numFmtId="166" fontId="16" fillId="0" borderId="2" xfId="6" applyFont="1" applyBorder="1" applyAlignment="1">
      <alignment horizontal="right" vertical="center"/>
    </xf>
    <xf numFmtId="0" fontId="4" fillId="0" borderId="2" xfId="5" applyFont="1" applyBorder="1" applyAlignment="1">
      <alignment horizontal="left" vertical="center"/>
    </xf>
    <xf numFmtId="170" fontId="17" fillId="0" borderId="2" xfId="8" applyNumberFormat="1" applyFont="1" applyFill="1" applyBorder="1" applyAlignment="1">
      <alignment horizontal="center" vertical="center"/>
    </xf>
    <xf numFmtId="169" fontId="18" fillId="0" borderId="2" xfId="8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left" vertical="center"/>
    </xf>
    <xf numFmtId="0" fontId="4" fillId="0" borderId="0" xfId="5" applyFont="1" applyFill="1"/>
    <xf numFmtId="169" fontId="4" fillId="0" borderId="2" xfId="5" applyNumberFormat="1" applyBorder="1" applyAlignment="1">
      <alignment horizontal="center" vertical="center"/>
    </xf>
    <xf numFmtId="166" fontId="0" fillId="0" borderId="2" xfId="6" applyFont="1" applyBorder="1" applyAlignment="1">
      <alignment horizontal="right" vertical="center"/>
    </xf>
    <xf numFmtId="1" fontId="4" fillId="0" borderId="2" xfId="5" applyNumberFormat="1" applyBorder="1" applyAlignment="1">
      <alignment horizontal="right" vertical="center"/>
    </xf>
    <xf numFmtId="0" fontId="4" fillId="0" borderId="2" xfId="5" applyBorder="1" applyAlignment="1">
      <alignment horizontal="left" vertical="center"/>
    </xf>
    <xf numFmtId="1" fontId="8" fillId="2" borderId="2" xfId="5" applyNumberFormat="1" applyFont="1" applyFill="1" applyBorder="1" applyAlignment="1">
      <alignment vertical="center"/>
    </xf>
    <xf numFmtId="0" fontId="4" fillId="0" borderId="2" xfId="5" applyBorder="1" applyAlignment="1">
      <alignment horizontal="left" vertical="center" wrapText="1"/>
    </xf>
    <xf numFmtId="167" fontId="8" fillId="2" borderId="2" xfId="9" applyFont="1" applyFill="1" applyBorder="1" applyAlignment="1">
      <alignment vertical="center"/>
    </xf>
    <xf numFmtId="166" fontId="4" fillId="0" borderId="0" xfId="6" applyFont="1" applyAlignment="1">
      <alignment vertical="center"/>
    </xf>
    <xf numFmtId="0" fontId="4" fillId="0" borderId="0" xfId="5" applyAlignment="1">
      <alignment horizontal="left" vertical="center"/>
    </xf>
    <xf numFmtId="166" fontId="4" fillId="0" borderId="0" xfId="5" applyNumberFormat="1" applyAlignment="1">
      <alignment vertical="center"/>
    </xf>
    <xf numFmtId="2" fontId="4" fillId="0" borderId="0" xfId="5" applyNumberFormat="1" applyAlignment="1">
      <alignment vertical="center"/>
    </xf>
    <xf numFmtId="166" fontId="8" fillId="0" borderId="0" xfId="4" applyFont="1" applyAlignment="1">
      <alignment vertical="center"/>
    </xf>
    <xf numFmtId="0" fontId="5" fillId="0" borderId="2" xfId="5" applyFont="1" applyFill="1" applyBorder="1" applyAlignment="1">
      <alignment horizontal="left" vertical="center"/>
    </xf>
    <xf numFmtId="4" fontId="16" fillId="0" borderId="4" xfId="8" applyNumberFormat="1" applyFont="1" applyFill="1" applyBorder="1" applyAlignment="1">
      <alignment horizontal="righ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22" fillId="0" borderId="2" xfId="8" applyFont="1" applyFill="1" applyBorder="1" applyAlignment="1">
      <alignment horizontal="left" vertical="center" wrapText="1"/>
    </xf>
    <xf numFmtId="0" fontId="16" fillId="0" borderId="5" xfId="8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169" fontId="16" fillId="0" borderId="2" xfId="0" applyNumberFormat="1" applyFont="1" applyFill="1" applyBorder="1" applyAlignment="1">
      <alignment horizontal="center" vertical="center"/>
    </xf>
    <xf numFmtId="169" fontId="16" fillId="0" borderId="2" xfId="8" applyNumberFormat="1" applyFont="1" applyFill="1" applyBorder="1" applyAlignment="1">
      <alignment horizontal="center" vertical="center"/>
    </xf>
    <xf numFmtId="170" fontId="16" fillId="0" borderId="2" xfId="8" applyNumberFormat="1" applyFont="1" applyFill="1" applyBorder="1" applyAlignment="1">
      <alignment horizontal="center" vertical="center"/>
    </xf>
    <xf numFmtId="169" fontId="22" fillId="0" borderId="2" xfId="8" applyNumberFormat="1" applyFont="1" applyFill="1" applyBorder="1" applyAlignment="1">
      <alignment horizontal="center" vertical="center"/>
    </xf>
    <xf numFmtId="0" fontId="4" fillId="0" borderId="0" xfId="5" applyAlignment="1">
      <alignment vertical="center" wrapText="1"/>
    </xf>
    <xf numFmtId="0" fontId="7" fillId="0" borderId="0" xfId="5" applyFont="1" applyFill="1" applyAlignment="1">
      <alignment vertical="center" wrapText="1"/>
    </xf>
    <xf numFmtId="0" fontId="8" fillId="0" borderId="0" xfId="5" applyFont="1" applyAlignment="1">
      <alignment vertical="center" wrapText="1"/>
    </xf>
    <xf numFmtId="0" fontId="4" fillId="0" borderId="2" xfId="5" applyBorder="1" applyAlignment="1">
      <alignment vertical="center" wrapText="1"/>
    </xf>
    <xf numFmtId="166" fontId="8" fillId="0" borderId="2" xfId="6" applyFont="1" applyFill="1" applyBorder="1" applyAlignment="1">
      <alignment horizontal="right" vertical="center"/>
    </xf>
    <xf numFmtId="0" fontId="8" fillId="2" borderId="2" xfId="5" applyFont="1" applyFill="1" applyBorder="1" applyAlignment="1">
      <alignment horizontal="right" vertical="center" wrapText="1"/>
    </xf>
    <xf numFmtId="0" fontId="8" fillId="0" borderId="1" xfId="5" applyFont="1" applyBorder="1" applyAlignment="1">
      <alignment vertical="center" wrapText="1"/>
    </xf>
    <xf numFmtId="169" fontId="17" fillId="0" borderId="2" xfId="8" applyNumberFormat="1" applyFont="1" applyFill="1" applyBorder="1" applyAlignment="1">
      <alignment horizontal="center" vertical="center"/>
    </xf>
    <xf numFmtId="166" fontId="23" fillId="2" borderId="2" xfId="6" applyFont="1" applyFill="1" applyBorder="1" applyAlignment="1">
      <alignment horizontal="right" vertical="center"/>
    </xf>
    <xf numFmtId="166" fontId="23" fillId="2" borderId="2" xfId="6" applyFont="1" applyFill="1" applyBorder="1" applyAlignment="1">
      <alignment vertical="center"/>
    </xf>
    <xf numFmtId="0" fontId="4" fillId="0" borderId="2" xfId="5" applyFont="1" applyBorder="1"/>
    <xf numFmtId="0" fontId="4" fillId="0" borderId="2" xfId="5" applyFill="1" applyBorder="1" applyAlignment="1">
      <alignment horizontal="left" vertical="center" wrapText="1"/>
    </xf>
    <xf numFmtId="166" fontId="0" fillId="0" borderId="2" xfId="6" applyFont="1" applyFill="1" applyBorder="1" applyAlignment="1">
      <alignment horizontal="right" vertical="center"/>
    </xf>
    <xf numFmtId="167" fontId="0" fillId="0" borderId="2" xfId="9" applyFont="1" applyFill="1" applyBorder="1" applyAlignment="1">
      <alignment horizontal="right" vertical="center"/>
    </xf>
    <xf numFmtId="1" fontId="4" fillId="0" borderId="2" xfId="5" applyNumberFormat="1" applyFill="1" applyBorder="1" applyAlignment="1">
      <alignment horizontal="right" vertical="center"/>
    </xf>
    <xf numFmtId="0" fontId="4" fillId="0" borderId="2" xfId="5" applyFill="1" applyBorder="1" applyAlignment="1">
      <alignment horizontal="left" vertical="center"/>
    </xf>
    <xf numFmtId="0" fontId="4" fillId="0" borderId="0" xfId="5" applyFill="1" applyAlignment="1">
      <alignment vertical="center"/>
    </xf>
    <xf numFmtId="166" fontId="16" fillId="0" borderId="2" xfId="6" applyNumberFormat="1" applyFont="1" applyFill="1" applyBorder="1" applyAlignment="1">
      <alignment horizontal="right" vertical="center"/>
    </xf>
    <xf numFmtId="0" fontId="4" fillId="6" borderId="0" xfId="5" applyFill="1" applyAlignment="1">
      <alignment vertical="center"/>
    </xf>
    <xf numFmtId="166" fontId="16" fillId="6" borderId="2" xfId="6" applyNumberFormat="1" applyFont="1" applyFill="1" applyBorder="1" applyAlignment="1">
      <alignment horizontal="right" vertical="center"/>
    </xf>
    <xf numFmtId="4" fontId="16" fillId="6" borderId="2" xfId="8" applyNumberFormat="1" applyFont="1" applyFill="1" applyBorder="1" applyAlignment="1">
      <alignment horizontal="right" vertical="center" wrapText="1"/>
    </xf>
    <xf numFmtId="0" fontId="4" fillId="6" borderId="2" xfId="5" applyFont="1" applyFill="1" applyBorder="1"/>
    <xf numFmtId="166" fontId="16" fillId="6" borderId="2" xfId="6" applyFont="1" applyFill="1" applyBorder="1" applyAlignment="1">
      <alignment horizontal="right" vertical="center"/>
    </xf>
    <xf numFmtId="4" fontId="16" fillId="6" borderId="4" xfId="8" applyNumberFormat="1" applyFont="1" applyFill="1" applyBorder="1" applyAlignment="1">
      <alignment horizontal="right" vertical="center" wrapText="1"/>
    </xf>
    <xf numFmtId="1" fontId="4" fillId="6" borderId="2" xfId="5" applyNumberFormat="1" applyFill="1" applyBorder="1" applyAlignment="1">
      <alignment horizontal="right" vertical="center"/>
    </xf>
    <xf numFmtId="167" fontId="0" fillId="6" borderId="2" xfId="9" applyFont="1" applyFill="1" applyBorder="1" applyAlignment="1">
      <alignment horizontal="right" vertical="center"/>
    </xf>
    <xf numFmtId="0" fontId="4" fillId="7" borderId="0" xfId="5" applyFill="1" applyAlignment="1">
      <alignment vertical="center"/>
    </xf>
    <xf numFmtId="166" fontId="16" fillId="7" borderId="2" xfId="6" applyNumberFormat="1" applyFont="1" applyFill="1" applyBorder="1" applyAlignment="1">
      <alignment horizontal="right" vertical="center"/>
    </xf>
    <xf numFmtId="166" fontId="16" fillId="7" borderId="2" xfId="6" applyFont="1" applyFill="1" applyBorder="1" applyAlignment="1">
      <alignment horizontal="right" vertical="center"/>
    </xf>
    <xf numFmtId="4" fontId="16" fillId="7" borderId="2" xfId="8" applyNumberFormat="1" applyFont="1" applyFill="1" applyBorder="1" applyAlignment="1">
      <alignment horizontal="right" vertical="center" wrapText="1"/>
    </xf>
    <xf numFmtId="0" fontId="4" fillId="7" borderId="0" xfId="5" applyFont="1" applyFill="1"/>
    <xf numFmtId="166" fontId="24" fillId="7" borderId="2" xfId="6" applyFont="1" applyFill="1" applyBorder="1" applyAlignment="1">
      <alignment horizontal="right" vertical="center"/>
    </xf>
    <xf numFmtId="4" fontId="16" fillId="7" borderId="4" xfId="8" applyNumberFormat="1" applyFont="1" applyFill="1" applyBorder="1" applyAlignment="1">
      <alignment horizontal="right" vertical="center" wrapText="1"/>
    </xf>
    <xf numFmtId="1" fontId="4" fillId="7" borderId="2" xfId="5" applyNumberFormat="1" applyFill="1" applyBorder="1" applyAlignment="1">
      <alignment horizontal="right" vertical="center"/>
    </xf>
    <xf numFmtId="0" fontId="4" fillId="8" borderId="0" xfId="5" applyFill="1" applyAlignment="1">
      <alignment vertical="center"/>
    </xf>
    <xf numFmtId="166" fontId="16" fillId="8" borderId="2" xfId="6" applyNumberFormat="1" applyFont="1" applyFill="1" applyBorder="1" applyAlignment="1">
      <alignment horizontal="right" vertical="center"/>
    </xf>
    <xf numFmtId="166" fontId="16" fillId="8" borderId="2" xfId="6" applyFont="1" applyFill="1" applyBorder="1" applyAlignment="1">
      <alignment horizontal="right" vertical="center"/>
    </xf>
    <xf numFmtId="4" fontId="16" fillId="8" borderId="2" xfId="8" applyNumberFormat="1" applyFont="1" applyFill="1" applyBorder="1" applyAlignment="1">
      <alignment horizontal="right" vertical="center" wrapText="1"/>
    </xf>
    <xf numFmtId="4" fontId="16" fillId="8" borderId="4" xfId="8" applyNumberFormat="1" applyFont="1" applyFill="1" applyBorder="1" applyAlignment="1">
      <alignment horizontal="right" vertical="center" wrapText="1"/>
    </xf>
    <xf numFmtId="1" fontId="4" fillId="8" borderId="2" xfId="5" applyNumberFormat="1" applyFill="1" applyBorder="1" applyAlignment="1">
      <alignment horizontal="right" vertical="center"/>
    </xf>
    <xf numFmtId="0" fontId="4" fillId="9" borderId="0" xfId="5" applyFill="1" applyAlignment="1">
      <alignment vertical="center"/>
    </xf>
    <xf numFmtId="166" fontId="16" fillId="9" borderId="2" xfId="6" applyNumberFormat="1" applyFont="1" applyFill="1" applyBorder="1" applyAlignment="1">
      <alignment horizontal="right" vertical="center"/>
    </xf>
    <xf numFmtId="166" fontId="16" fillId="9" borderId="2" xfId="6" applyFont="1" applyFill="1" applyBorder="1" applyAlignment="1">
      <alignment horizontal="right" vertical="center"/>
    </xf>
    <xf numFmtId="4" fontId="16" fillId="9" borderId="2" xfId="8" applyNumberFormat="1" applyFont="1" applyFill="1" applyBorder="1" applyAlignment="1">
      <alignment horizontal="right" vertical="center" wrapText="1"/>
    </xf>
    <xf numFmtId="1" fontId="4" fillId="9" borderId="2" xfId="5" applyNumberFormat="1" applyFill="1" applyBorder="1" applyAlignment="1">
      <alignment horizontal="right" vertical="center"/>
    </xf>
    <xf numFmtId="0" fontId="4" fillId="8" borderId="0" xfId="5" applyFont="1" applyFill="1"/>
    <xf numFmtId="166" fontId="24" fillId="8" borderId="2" xfId="6" applyFont="1" applyFill="1" applyBorder="1" applyAlignment="1">
      <alignment horizontal="right" vertical="center"/>
    </xf>
    <xf numFmtId="4" fontId="24" fillId="9" borderId="2" xfId="8" applyNumberFormat="1" applyFont="1" applyFill="1" applyBorder="1" applyAlignment="1">
      <alignment horizontal="right" vertical="center" wrapText="1"/>
    </xf>
    <xf numFmtId="166" fontId="24" fillId="9" borderId="2" xfId="6" applyFont="1" applyFill="1" applyBorder="1" applyAlignment="1">
      <alignment horizontal="right" vertical="center"/>
    </xf>
    <xf numFmtId="4" fontId="24" fillId="9" borderId="4" xfId="8" applyNumberFormat="1" applyFont="1" applyFill="1" applyBorder="1" applyAlignment="1">
      <alignment horizontal="right" vertical="center" wrapText="1"/>
    </xf>
    <xf numFmtId="0" fontId="4" fillId="0" borderId="0" xfId="5" applyFill="1" applyAlignment="1">
      <alignment vertical="center" wrapText="1"/>
    </xf>
    <xf numFmtId="166" fontId="4" fillId="0" borderId="0" xfId="6" applyFont="1" applyFill="1" applyAlignment="1">
      <alignment horizontal="right" vertical="center"/>
    </xf>
    <xf numFmtId="0" fontId="8" fillId="0" borderId="0" xfId="5" applyFont="1" applyFill="1" applyAlignment="1">
      <alignment vertical="center" wrapText="1"/>
    </xf>
    <xf numFmtId="166" fontId="8" fillId="0" borderId="0" xfId="6" applyFont="1" applyFill="1" applyAlignment="1">
      <alignment horizontal="right" vertical="center"/>
    </xf>
    <xf numFmtId="0" fontId="8" fillId="0" borderId="0" xfId="5" applyFont="1" applyFill="1" applyAlignment="1">
      <alignment vertical="center"/>
    </xf>
    <xf numFmtId="0" fontId="8" fillId="0" borderId="1" xfId="5" applyFont="1" applyFill="1" applyBorder="1" applyAlignment="1">
      <alignment vertical="center" wrapText="1"/>
    </xf>
    <xf numFmtId="166" fontId="8" fillId="0" borderId="1" xfId="6" applyFont="1" applyFill="1" applyBorder="1" applyAlignment="1">
      <alignment horizontal="right" vertical="center"/>
    </xf>
    <xf numFmtId="0" fontId="8" fillId="0" borderId="1" xfId="5" applyFont="1" applyFill="1" applyBorder="1" applyAlignment="1">
      <alignment vertical="center"/>
    </xf>
    <xf numFmtId="166" fontId="4" fillId="0" borderId="0" xfId="6" applyFont="1" applyFill="1" applyAlignment="1">
      <alignment vertical="center"/>
    </xf>
    <xf numFmtId="166" fontId="4" fillId="0" borderId="0" xfId="5" applyNumberFormat="1" applyFill="1" applyAlignment="1">
      <alignment vertical="center"/>
    </xf>
    <xf numFmtId="166" fontId="16" fillId="0" borderId="2" xfId="6" applyFont="1" applyFill="1" applyBorder="1" applyAlignment="1">
      <alignment horizontal="right" vertical="center"/>
    </xf>
    <xf numFmtId="0" fontId="4" fillId="0" borderId="0" xfId="5" applyAlignment="1">
      <alignment horizontal="center" vertical="center" wrapText="1"/>
    </xf>
    <xf numFmtId="166" fontId="4" fillId="0" borderId="0" xfId="5" applyNumberFormat="1" applyAlignment="1">
      <alignment vertical="center" wrapText="1"/>
    </xf>
    <xf numFmtId="166" fontId="0" fillId="0" borderId="0" xfId="0" applyNumberFormat="1"/>
    <xf numFmtId="166" fontId="0" fillId="0" borderId="0" xfId="4" applyFont="1"/>
    <xf numFmtId="0" fontId="4" fillId="0" borderId="0" xfId="5" applyAlignment="1">
      <alignment horizontal="left" vertical="center" wrapText="1"/>
    </xf>
    <xf numFmtId="166" fontId="4" fillId="0" borderId="0" xfId="6" applyFont="1" applyFill="1" applyAlignment="1">
      <alignment horizontal="left" vertical="center"/>
    </xf>
    <xf numFmtId="0" fontId="4" fillId="0" borderId="0" xfId="5" applyFill="1" applyAlignment="1">
      <alignment horizontal="left" vertical="center"/>
    </xf>
    <xf numFmtId="166" fontId="4" fillId="0" borderId="2" xfId="4" applyFont="1" applyBorder="1" applyAlignment="1">
      <alignment horizontal="right" vertical="center"/>
    </xf>
    <xf numFmtId="166" fontId="8" fillId="2" borderId="2" xfId="4" applyFont="1" applyFill="1" applyBorder="1" applyAlignment="1">
      <alignment vertical="center"/>
    </xf>
    <xf numFmtId="169" fontId="4" fillId="0" borderId="2" xfId="5" applyNumberFormat="1" applyFill="1" applyBorder="1" applyAlignment="1">
      <alignment horizontal="center" vertical="center"/>
    </xf>
    <xf numFmtId="169" fontId="16" fillId="0" borderId="5" xfId="8" applyNumberFormat="1" applyFont="1" applyFill="1" applyBorder="1" applyAlignment="1">
      <alignment horizontal="center" vertical="center"/>
    </xf>
    <xf numFmtId="166" fontId="4" fillId="8" borderId="2" xfId="4" applyFont="1" applyFill="1" applyBorder="1" applyAlignment="1">
      <alignment horizontal="right" vertical="center"/>
    </xf>
    <xf numFmtId="166" fontId="4" fillId="6" borderId="2" xfId="4" applyFont="1" applyFill="1" applyBorder="1" applyAlignment="1">
      <alignment horizontal="right" vertical="center"/>
    </xf>
    <xf numFmtId="166" fontId="4" fillId="7" borderId="2" xfId="4" applyFont="1" applyFill="1" applyBorder="1" applyAlignment="1">
      <alignment horizontal="right" vertical="center"/>
    </xf>
    <xf numFmtId="166" fontId="4" fillId="9" borderId="2" xfId="4" applyFont="1" applyFill="1" applyBorder="1" applyAlignment="1">
      <alignment horizontal="right" vertical="center"/>
    </xf>
    <xf numFmtId="166" fontId="22" fillId="7" borderId="2" xfId="6" applyFont="1" applyFill="1" applyBorder="1" applyAlignment="1">
      <alignment horizontal="right" vertical="center"/>
    </xf>
    <xf numFmtId="4" fontId="22" fillId="9" borderId="4" xfId="8" applyNumberFormat="1" applyFont="1" applyFill="1" applyBorder="1" applyAlignment="1">
      <alignment horizontal="right" vertical="center" wrapText="1"/>
    </xf>
    <xf numFmtId="0" fontId="5" fillId="0" borderId="1" xfId="5" applyFont="1" applyBorder="1" applyAlignment="1">
      <alignment vertical="center" wrapText="1"/>
    </xf>
    <xf numFmtId="166" fontId="22" fillId="9" borderId="2" xfId="6" applyFont="1" applyFill="1" applyBorder="1" applyAlignment="1">
      <alignment horizontal="right" vertical="center"/>
    </xf>
    <xf numFmtId="4" fontId="22" fillId="9" borderId="2" xfId="8" applyNumberFormat="1" applyFont="1" applyFill="1" applyBorder="1" applyAlignment="1">
      <alignment horizontal="right" vertical="center" wrapText="1"/>
    </xf>
    <xf numFmtId="169" fontId="4" fillId="0" borderId="0" xfId="5" applyNumberFormat="1" applyFont="1"/>
    <xf numFmtId="166" fontId="4" fillId="0" borderId="0" xfId="5" applyNumberFormat="1" applyFont="1"/>
    <xf numFmtId="166" fontId="8" fillId="0" borderId="0" xfId="5" applyNumberFormat="1" applyFont="1" applyAlignment="1">
      <alignment vertical="center"/>
    </xf>
    <xf numFmtId="166" fontId="8" fillId="0" borderId="0" xfId="5" applyNumberFormat="1" applyFont="1"/>
    <xf numFmtId="169" fontId="8" fillId="0" borderId="0" xfId="5" applyNumberFormat="1" applyFont="1" applyAlignment="1">
      <alignment vertical="center"/>
    </xf>
    <xf numFmtId="166" fontId="25" fillId="0" borderId="0" xfId="5" applyNumberFormat="1" applyFont="1" applyAlignment="1">
      <alignment vertical="center"/>
    </xf>
    <xf numFmtId="0" fontId="4" fillId="0" borderId="0" xfId="5" applyBorder="1" applyAlignment="1">
      <alignment vertical="center" wrapText="1"/>
    </xf>
    <xf numFmtId="166" fontId="4" fillId="0" borderId="0" xfId="6" applyFont="1" applyBorder="1" applyAlignment="1">
      <alignment horizontal="right" vertical="center"/>
    </xf>
    <xf numFmtId="166" fontId="4" fillId="5" borderId="0" xfId="5" applyNumberFormat="1" applyFill="1" applyAlignment="1">
      <alignment vertical="center"/>
    </xf>
    <xf numFmtId="166" fontId="16" fillId="6" borderId="2" xfId="8" applyNumberFormat="1" applyFont="1" applyFill="1" applyBorder="1" applyAlignment="1">
      <alignment horizontal="right" vertical="center" wrapText="1"/>
    </xf>
    <xf numFmtId="166" fontId="4" fillId="8" borderId="0" xfId="5" applyNumberFormat="1" applyFont="1" applyFill="1"/>
    <xf numFmtId="166" fontId="16" fillId="7" borderId="2" xfId="8" applyNumberFormat="1" applyFont="1" applyFill="1" applyBorder="1" applyAlignment="1">
      <alignment horizontal="right" vertical="center" wrapText="1"/>
    </xf>
    <xf numFmtId="166" fontId="16" fillId="9" borderId="2" xfId="8" applyNumberFormat="1" applyFont="1" applyFill="1" applyBorder="1" applyAlignment="1">
      <alignment horizontal="right" vertical="center" wrapText="1"/>
    </xf>
    <xf numFmtId="166" fontId="16" fillId="8" borderId="2" xfId="8" applyNumberFormat="1" applyFont="1" applyFill="1" applyBorder="1" applyAlignment="1">
      <alignment horizontal="right" vertical="center" wrapText="1"/>
    </xf>
    <xf numFmtId="166" fontId="24" fillId="8" borderId="2" xfId="6" applyNumberFormat="1" applyFont="1" applyFill="1" applyBorder="1" applyAlignment="1">
      <alignment horizontal="right" vertical="center"/>
    </xf>
    <xf numFmtId="166" fontId="4" fillId="6" borderId="2" xfId="5" applyNumberFormat="1" applyFont="1" applyFill="1" applyBorder="1"/>
    <xf numFmtId="166" fontId="4" fillId="7" borderId="0" xfId="5" applyNumberFormat="1" applyFont="1" applyFill="1"/>
    <xf numFmtId="0" fontId="4" fillId="0" borderId="2" xfId="5" applyFill="1" applyBorder="1" applyAlignment="1">
      <alignment vertical="center" wrapText="1"/>
    </xf>
    <xf numFmtId="166" fontId="8" fillId="5" borderId="2" xfId="6" applyFont="1" applyFill="1" applyBorder="1" applyAlignment="1">
      <alignment horizontal="right" vertical="center"/>
    </xf>
    <xf numFmtId="169" fontId="26" fillId="0" borderId="2" xfId="8" applyNumberFormat="1" applyFont="1" applyFill="1" applyBorder="1" applyAlignment="1">
      <alignment horizontal="center" vertical="center"/>
    </xf>
    <xf numFmtId="166" fontId="4" fillId="5" borderId="2" xfId="5" applyNumberFormat="1" applyFill="1" applyBorder="1" applyAlignment="1">
      <alignment vertical="center"/>
    </xf>
    <xf numFmtId="166" fontId="4" fillId="0" borderId="2" xfId="5" applyNumberFormat="1" applyFill="1" applyBorder="1" applyAlignment="1">
      <alignment vertical="center"/>
    </xf>
    <xf numFmtId="166" fontId="1" fillId="0" borderId="0" xfId="96" applyFont="1"/>
    <xf numFmtId="166" fontId="27" fillId="5" borderId="2" xfId="6" applyFont="1" applyFill="1" applyBorder="1" applyAlignment="1">
      <alignment horizontal="right" vertical="center"/>
    </xf>
    <xf numFmtId="166" fontId="28" fillId="5" borderId="2" xfId="5" applyNumberFormat="1" applyFont="1" applyFill="1" applyBorder="1" applyAlignment="1">
      <alignment vertical="center"/>
    </xf>
    <xf numFmtId="166" fontId="27" fillId="0" borderId="2" xfId="6" applyFont="1" applyFill="1" applyBorder="1" applyAlignment="1">
      <alignment horizontal="right" vertical="center"/>
    </xf>
    <xf numFmtId="166" fontId="28" fillId="0" borderId="2" xfId="5" applyNumberFormat="1" applyFont="1" applyFill="1" applyBorder="1" applyAlignment="1">
      <alignment vertical="center"/>
    </xf>
    <xf numFmtId="169" fontId="29" fillId="0" borderId="2" xfId="8" applyNumberFormat="1" applyFont="1" applyFill="1" applyBorder="1" applyAlignment="1">
      <alignment horizontal="center" vertical="center"/>
    </xf>
    <xf numFmtId="169" fontId="30" fillId="0" borderId="2" xfId="8" applyNumberFormat="1" applyFont="1" applyFill="1" applyBorder="1" applyAlignment="1">
      <alignment horizontal="center" vertical="center"/>
    </xf>
    <xf numFmtId="0" fontId="29" fillId="0" borderId="2" xfId="8" applyFont="1" applyFill="1" applyBorder="1" applyAlignment="1">
      <alignment horizontal="left" vertical="center" wrapText="1"/>
    </xf>
    <xf numFmtId="169" fontId="31" fillId="0" borderId="2" xfId="8" applyNumberFormat="1" applyFont="1" applyFill="1" applyBorder="1" applyAlignment="1">
      <alignment horizontal="center" vertical="center"/>
    </xf>
    <xf numFmtId="166" fontId="0" fillId="0" borderId="2" xfId="4" applyFont="1" applyBorder="1"/>
    <xf numFmtId="166" fontId="5" fillId="0" borderId="2" xfId="5" applyNumberFormat="1" applyFont="1" applyFill="1" applyBorder="1" applyAlignment="1">
      <alignment horizontal="left" vertical="center"/>
    </xf>
    <xf numFmtId="0" fontId="5" fillId="0" borderId="2" xfId="5" applyFont="1" applyFill="1" applyBorder="1" applyAlignment="1">
      <alignment horizontal="center" vertical="center"/>
    </xf>
    <xf numFmtId="165" fontId="5" fillId="0" borderId="2" xfId="5" applyNumberFormat="1" applyFont="1" applyFill="1" applyBorder="1" applyAlignment="1">
      <alignment horizontal="center" vertical="center"/>
    </xf>
    <xf numFmtId="0" fontId="4" fillId="0" borderId="2" xfId="5" applyFont="1" applyBorder="1" applyAlignment="1">
      <alignment horizontal="center" vertical="center"/>
    </xf>
    <xf numFmtId="165" fontId="4" fillId="0" borderId="2" xfId="5" applyNumberFormat="1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left" vertical="center"/>
    </xf>
    <xf numFmtId="0" fontId="5" fillId="0" borderId="2" xfId="5" applyFont="1" applyBorder="1" applyAlignment="1">
      <alignment horizontal="center" vertical="center" wrapText="1"/>
    </xf>
    <xf numFmtId="0" fontId="33" fillId="0" borderId="2" xfId="5" applyFont="1" applyBorder="1" applyAlignment="1">
      <alignment horizontal="center" vertical="center" wrapText="1"/>
    </xf>
    <xf numFmtId="0" fontId="5" fillId="0" borderId="0" xfId="5" applyFont="1" applyAlignment="1">
      <alignment horizontal="right" vertical="center" wrapText="1"/>
    </xf>
    <xf numFmtId="166" fontId="5" fillId="0" borderId="0" xfId="6" applyFont="1" applyAlignment="1">
      <alignment horizontal="right" vertical="center"/>
    </xf>
    <xf numFmtId="4" fontId="16" fillId="5" borderId="2" xfId="8" applyNumberFormat="1" applyFont="1" applyFill="1" applyBorder="1" applyAlignment="1">
      <alignment horizontal="right" vertical="center" wrapText="1"/>
    </xf>
    <xf numFmtId="166" fontId="4" fillId="5" borderId="0" xfId="4" applyFont="1" applyFill="1" applyAlignment="1">
      <alignment vertical="center"/>
    </xf>
    <xf numFmtId="166" fontId="4" fillId="5" borderId="2" xfId="4" applyFont="1" applyFill="1" applyBorder="1" applyAlignment="1">
      <alignment horizontal="right" vertical="center"/>
    </xf>
    <xf numFmtId="0" fontId="5" fillId="0" borderId="2" xfId="5" applyFont="1" applyFill="1" applyBorder="1" applyAlignment="1">
      <alignment horizontal="left" vertical="center" wrapText="1"/>
    </xf>
    <xf numFmtId="166" fontId="16" fillId="0" borderId="2" xfId="6" quotePrefix="1" applyNumberFormat="1" applyFont="1" applyBorder="1" applyAlignment="1">
      <alignment horizontal="right" vertical="center"/>
    </xf>
    <xf numFmtId="166" fontId="16" fillId="0" borderId="0" xfId="6" applyNumberFormat="1" applyFont="1" applyFill="1" applyBorder="1" applyAlignment="1">
      <alignment horizontal="right" vertical="center"/>
    </xf>
    <xf numFmtId="0" fontId="9" fillId="10" borderId="6" xfId="2" applyNumberFormat="1" applyFont="1" applyFill="1" applyBorder="1" applyAlignment="1">
      <alignment horizontal="center" vertical="center" wrapText="1"/>
    </xf>
    <xf numFmtId="0" fontId="13" fillId="10" borderId="2" xfId="5" applyFont="1" applyFill="1" applyBorder="1" applyAlignment="1">
      <alignment horizontal="center" vertical="center"/>
    </xf>
    <xf numFmtId="0" fontId="13" fillId="10" borderId="2" xfId="5" applyFont="1" applyFill="1" applyBorder="1" applyAlignment="1">
      <alignment horizontal="right" vertical="center" wrapText="1"/>
    </xf>
    <xf numFmtId="166" fontId="13" fillId="10" borderId="2" xfId="6" applyFont="1" applyFill="1" applyBorder="1" applyAlignment="1">
      <alignment horizontal="right" vertical="center"/>
    </xf>
    <xf numFmtId="167" fontId="13" fillId="10" borderId="2" xfId="9" applyFont="1" applyFill="1" applyBorder="1" applyAlignment="1">
      <alignment vertical="center"/>
    </xf>
    <xf numFmtId="167" fontId="13" fillId="10" borderId="2" xfId="9" applyFont="1" applyFill="1" applyBorder="1" applyAlignment="1">
      <alignment horizontal="left" vertical="center"/>
    </xf>
    <xf numFmtId="0" fontId="9" fillId="10" borderId="8" xfId="2" applyNumberFormat="1" applyFont="1" applyFill="1" applyBorder="1" applyAlignment="1">
      <alignment horizontal="center" vertical="center" wrapText="1"/>
    </xf>
    <xf numFmtId="0" fontId="9" fillId="10" borderId="9" xfId="2" applyNumberFormat="1" applyFont="1" applyFill="1" applyBorder="1" applyAlignment="1">
      <alignment horizontal="center" vertical="center" wrapText="1"/>
    </xf>
    <xf numFmtId="166" fontId="5" fillId="0" borderId="0" xfId="4" applyFont="1" applyAlignment="1">
      <alignment horizontal="center" vertical="center"/>
    </xf>
    <xf numFmtId="166" fontId="33" fillId="0" borderId="0" xfId="4" applyFont="1" applyFill="1" applyAlignment="1">
      <alignment vertical="center"/>
    </xf>
    <xf numFmtId="166" fontId="5" fillId="0" borderId="0" xfId="4" applyFont="1" applyAlignment="1">
      <alignment vertical="center"/>
    </xf>
    <xf numFmtId="166" fontId="33" fillId="0" borderId="0" xfId="4" applyFont="1" applyAlignment="1">
      <alignment vertical="center"/>
    </xf>
    <xf numFmtId="166" fontId="33" fillId="0" borderId="1" xfId="4" applyFont="1" applyBorder="1" applyAlignment="1">
      <alignment vertical="center"/>
    </xf>
    <xf numFmtId="166" fontId="5" fillId="0" borderId="2" xfId="4" applyFont="1" applyFill="1" applyBorder="1" applyAlignment="1">
      <alignment horizontal="center" vertical="center"/>
    </xf>
    <xf numFmtId="166" fontId="33" fillId="2" borderId="2" xfId="4" applyFont="1" applyFill="1" applyBorder="1" applyAlignment="1">
      <alignment horizontal="center" vertical="center"/>
    </xf>
    <xf numFmtId="166" fontId="37" fillId="0" borderId="2" xfId="4" applyFont="1" applyFill="1" applyBorder="1" applyAlignment="1">
      <alignment horizontal="center" vertical="center"/>
    </xf>
    <xf numFmtId="166" fontId="5" fillId="0" borderId="2" xfId="4" applyFont="1" applyFill="1" applyBorder="1" applyAlignment="1">
      <alignment horizontal="left" vertical="center" wrapText="1"/>
    </xf>
    <xf numFmtId="166" fontId="5" fillId="0" borderId="2" xfId="4" applyFont="1" applyBorder="1" applyAlignment="1">
      <alignment horizontal="center" vertical="center"/>
    </xf>
    <xf numFmtId="166" fontId="38" fillId="10" borderId="2" xfId="4" applyFont="1" applyFill="1" applyBorder="1" applyAlignment="1">
      <alignment horizontal="center" vertical="center"/>
    </xf>
    <xf numFmtId="166" fontId="4" fillId="0" borderId="2" xfId="4" applyFont="1" applyFill="1" applyBorder="1" applyAlignment="1">
      <alignment horizontal="right" vertical="center"/>
    </xf>
    <xf numFmtId="166" fontId="16" fillId="5" borderId="2" xfId="6" applyFont="1" applyFill="1" applyBorder="1" applyAlignment="1">
      <alignment horizontal="right" vertical="center"/>
    </xf>
    <xf numFmtId="166" fontId="4" fillId="0" borderId="2" xfId="5" applyNumberFormat="1" applyFont="1" applyBorder="1" applyAlignment="1">
      <alignment horizontal="left" vertical="center"/>
    </xf>
    <xf numFmtId="166" fontId="16" fillId="5" borderId="2" xfId="6" applyNumberFormat="1" applyFont="1" applyFill="1" applyBorder="1" applyAlignment="1">
      <alignment horizontal="right" vertical="center"/>
    </xf>
    <xf numFmtId="166" fontId="39" fillId="0" borderId="0" xfId="4" applyFont="1" applyAlignment="1">
      <alignment vertical="center"/>
    </xf>
    <xf numFmtId="2" fontId="4" fillId="5" borderId="2" xfId="5" applyNumberFormat="1" applyFill="1" applyBorder="1" applyAlignment="1">
      <alignment horizontal="right" vertical="center"/>
    </xf>
    <xf numFmtId="166" fontId="28" fillId="11" borderId="0" xfId="5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0" fillId="10" borderId="12" xfId="0" applyFont="1" applyFill="1" applyBorder="1" applyAlignment="1">
      <alignment horizontal="center" vertical="center"/>
    </xf>
    <xf numFmtId="0" fontId="40" fillId="10" borderId="13" xfId="0" applyFont="1" applyFill="1" applyBorder="1" applyAlignment="1">
      <alignment horizontal="center" vertical="center"/>
    </xf>
    <xf numFmtId="0" fontId="40" fillId="10" borderId="14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0" borderId="13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0" fontId="0" fillId="12" borderId="19" xfId="0" applyFill="1" applyBorder="1"/>
    <xf numFmtId="0" fontId="0" fillId="12" borderId="20" xfId="0" applyFill="1" applyBorder="1"/>
    <xf numFmtId="0" fontId="0" fillId="12" borderId="20" xfId="0" applyFill="1" applyBorder="1" applyAlignment="1">
      <alignment horizontal="left"/>
    </xf>
    <xf numFmtId="0" fontId="0" fillId="12" borderId="21" xfId="0" applyFill="1" applyBorder="1"/>
    <xf numFmtId="0" fontId="0" fillId="12" borderId="22" xfId="0" applyFill="1" applyBorder="1"/>
    <xf numFmtId="0" fontId="0" fillId="12" borderId="0" xfId="0" applyFill="1" applyBorder="1"/>
    <xf numFmtId="0" fontId="0" fillId="12" borderId="0" xfId="0" applyFill="1" applyBorder="1" applyAlignment="1">
      <alignment horizontal="left"/>
    </xf>
    <xf numFmtId="0" fontId="0" fillId="12" borderId="23" xfId="0" applyFill="1" applyBorder="1"/>
    <xf numFmtId="0" fontId="0" fillId="12" borderId="22" xfId="0" applyFill="1" applyBorder="1" applyAlignment="1">
      <alignment horizontal="center"/>
    </xf>
    <xf numFmtId="0" fontId="0" fillId="12" borderId="24" xfId="0" applyFill="1" applyBorder="1" applyAlignment="1">
      <alignment horizontal="center"/>
    </xf>
    <xf numFmtId="0" fontId="0" fillId="12" borderId="25" xfId="0" applyFill="1" applyBorder="1"/>
    <xf numFmtId="0" fontId="0" fillId="12" borderId="25" xfId="0" applyFill="1" applyBorder="1" applyAlignment="1">
      <alignment horizontal="left"/>
    </xf>
    <xf numFmtId="0" fontId="0" fillId="12" borderId="26" xfId="0" applyFill="1" applyBorder="1"/>
    <xf numFmtId="0" fontId="4" fillId="12" borderId="19" xfId="0" applyFont="1" applyFill="1" applyBorder="1"/>
    <xf numFmtId="0" fontId="0" fillId="12" borderId="23" xfId="0" applyFill="1" applyBorder="1" applyAlignment="1">
      <alignment horizontal="left"/>
    </xf>
    <xf numFmtId="169" fontId="16" fillId="12" borderId="15" xfId="8" applyNumberFormat="1" applyFont="1" applyFill="1" applyBorder="1" applyAlignment="1">
      <alignment horizontal="center" vertical="center"/>
    </xf>
    <xf numFmtId="166" fontId="16" fillId="12" borderId="2" xfId="4" applyFont="1" applyFill="1" applyBorder="1"/>
    <xf numFmtId="0" fontId="5" fillId="12" borderId="16" xfId="5" applyFont="1" applyFill="1" applyBorder="1" applyAlignment="1">
      <alignment horizontal="left" vertical="center" wrapText="1"/>
    </xf>
    <xf numFmtId="0" fontId="5" fillId="12" borderId="16" xfId="5" applyFont="1" applyFill="1" applyBorder="1" applyAlignment="1">
      <alignment horizontal="left" vertical="center"/>
    </xf>
    <xf numFmtId="170" fontId="16" fillId="12" borderId="15" xfId="8" applyNumberFormat="1" applyFont="1" applyFill="1" applyBorder="1" applyAlignment="1">
      <alignment horizontal="center" vertical="center"/>
    </xf>
    <xf numFmtId="0" fontId="0" fillId="12" borderId="24" xfId="0" applyFill="1" applyBorder="1"/>
    <xf numFmtId="169" fontId="16" fillId="12" borderId="17" xfId="8" applyNumberFormat="1" applyFont="1" applyFill="1" applyBorder="1" applyAlignment="1">
      <alignment horizontal="center" vertical="center"/>
    </xf>
    <xf numFmtId="166" fontId="16" fillId="12" borderId="6" xfId="4" applyFont="1" applyFill="1" applyBorder="1"/>
    <xf numFmtId="0" fontId="5" fillId="12" borderId="18" xfId="5" applyFont="1" applyFill="1" applyBorder="1" applyAlignment="1">
      <alignment horizontal="left" vertical="center" wrapText="1"/>
    </xf>
    <xf numFmtId="0" fontId="4" fillId="12" borderId="0" xfId="0" applyFont="1" applyFill="1" applyBorder="1"/>
    <xf numFmtId="0" fontId="0" fillId="12" borderId="2" xfId="0" applyFill="1" applyBorder="1"/>
    <xf numFmtId="166" fontId="0" fillId="12" borderId="2" xfId="4" applyFont="1" applyFill="1" applyBorder="1"/>
    <xf numFmtId="0" fontId="15" fillId="0" borderId="0" xfId="0" applyFont="1" applyAlignment="1">
      <alignment horizontal="left"/>
    </xf>
    <xf numFmtId="0" fontId="8" fillId="0" borderId="0" xfId="0" applyFont="1"/>
    <xf numFmtId="166" fontId="8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Fill="1"/>
    <xf numFmtId="166" fontId="0" fillId="0" borderId="0" xfId="0" applyNumberFormat="1" applyFill="1"/>
    <xf numFmtId="0" fontId="8" fillId="0" borderId="0" xfId="5" applyFont="1" applyFill="1" applyAlignment="1">
      <alignment horizontal="center" wrapText="1"/>
    </xf>
    <xf numFmtId="166" fontId="0" fillId="0" borderId="31" xfId="0" applyNumberFormat="1" applyBorder="1"/>
    <xf numFmtId="0" fontId="0" fillId="0" borderId="33" xfId="0" applyBorder="1"/>
    <xf numFmtId="166" fontId="0" fillId="13" borderId="33" xfId="0" applyNumberFormat="1" applyFill="1" applyBorder="1"/>
    <xf numFmtId="166" fontId="0" fillId="13" borderId="32" xfId="0" applyNumberFormat="1" applyFill="1" applyBorder="1"/>
    <xf numFmtId="166" fontId="4" fillId="0" borderId="0" xfId="4" applyFont="1" applyFill="1" applyAlignment="1">
      <alignment vertical="center"/>
    </xf>
    <xf numFmtId="0" fontId="8" fillId="0" borderId="0" xfId="5" applyFont="1" applyFill="1" applyBorder="1" applyAlignment="1">
      <alignment vertical="center"/>
    </xf>
    <xf numFmtId="0" fontId="8" fillId="2" borderId="8" xfId="5" applyFont="1" applyFill="1" applyBorder="1" applyAlignment="1">
      <alignment horizontal="center" vertical="center"/>
    </xf>
    <xf numFmtId="0" fontId="13" fillId="10" borderId="7" xfId="5" applyFont="1" applyFill="1" applyBorder="1" applyAlignment="1">
      <alignment horizontal="center" vertical="center"/>
    </xf>
    <xf numFmtId="166" fontId="16" fillId="14" borderId="2" xfId="6" applyNumberFormat="1" applyFont="1" applyFill="1" applyBorder="1" applyAlignment="1">
      <alignment horizontal="right" vertical="center"/>
    </xf>
    <xf numFmtId="166" fontId="16" fillId="14" borderId="2" xfId="6" applyFont="1" applyFill="1" applyBorder="1" applyAlignment="1">
      <alignment horizontal="right" vertical="center"/>
    </xf>
    <xf numFmtId="0" fontId="4" fillId="14" borderId="0" xfId="5" applyFont="1" applyFill="1"/>
    <xf numFmtId="4" fontId="16" fillId="14" borderId="2" xfId="8" applyNumberFormat="1" applyFont="1" applyFill="1" applyBorder="1" applyAlignment="1">
      <alignment horizontal="right" vertical="center" wrapText="1"/>
    </xf>
    <xf numFmtId="166" fontId="24" fillId="14" borderId="2" xfId="6" applyFont="1" applyFill="1" applyBorder="1" applyAlignment="1">
      <alignment horizontal="right" vertical="center"/>
    </xf>
    <xf numFmtId="4" fontId="16" fillId="14" borderId="4" xfId="8" applyNumberFormat="1" applyFont="1" applyFill="1" applyBorder="1" applyAlignment="1">
      <alignment horizontal="right" vertical="center" wrapText="1"/>
    </xf>
    <xf numFmtId="1" fontId="4" fillId="14" borderId="2" xfId="5" applyNumberFormat="1" applyFill="1" applyBorder="1" applyAlignment="1">
      <alignment horizontal="right" vertical="center"/>
    </xf>
    <xf numFmtId="166" fontId="4" fillId="14" borderId="2" xfId="4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41" fillId="6" borderId="36" xfId="0" applyFont="1" applyFill="1" applyBorder="1" applyAlignment="1">
      <alignment horizontal="center"/>
    </xf>
    <xf numFmtId="0" fontId="41" fillId="6" borderId="38" xfId="0" applyFont="1" applyFill="1" applyBorder="1" applyAlignment="1">
      <alignment horizontal="center"/>
    </xf>
    <xf numFmtId="0" fontId="41" fillId="6" borderId="37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33" fillId="6" borderId="7" xfId="0" applyFont="1" applyFill="1" applyBorder="1" applyAlignment="1">
      <alignment horizontal="left" wrapText="1"/>
    </xf>
    <xf numFmtId="166" fontId="8" fillId="6" borderId="35" xfId="0" applyNumberFormat="1" applyFont="1" applyFill="1" applyBorder="1"/>
    <xf numFmtId="0" fontId="8" fillId="6" borderId="15" xfId="0" applyFont="1" applyFill="1" applyBorder="1" applyAlignment="1">
      <alignment horizontal="center"/>
    </xf>
    <xf numFmtId="0" fontId="33" fillId="6" borderId="2" xfId="0" applyFont="1" applyFill="1" applyBorder="1" applyAlignment="1">
      <alignment horizontal="left" wrapText="1"/>
    </xf>
    <xf numFmtId="166" fontId="8" fillId="6" borderId="16" xfId="0" applyNumberFormat="1" applyFont="1" applyFill="1" applyBorder="1"/>
    <xf numFmtId="0" fontId="8" fillId="6" borderId="17" xfId="0" applyFont="1" applyFill="1" applyBorder="1" applyAlignment="1">
      <alignment horizontal="center"/>
    </xf>
    <xf numFmtId="0" fontId="33" fillId="6" borderId="6" xfId="0" applyFont="1" applyFill="1" applyBorder="1" applyAlignment="1">
      <alignment horizontal="left" wrapText="1"/>
    </xf>
    <xf numFmtId="166" fontId="8" fillId="6" borderId="18" xfId="0" applyNumberFormat="1" applyFont="1" applyFill="1" applyBorder="1"/>
    <xf numFmtId="166" fontId="8" fillId="6" borderId="34" xfId="0" applyNumberFormat="1" applyFont="1" applyFill="1" applyBorder="1"/>
    <xf numFmtId="166" fontId="8" fillId="6" borderId="7" xfId="0" applyNumberFormat="1" applyFont="1" applyFill="1" applyBorder="1"/>
    <xf numFmtId="166" fontId="8" fillId="6" borderId="15" xfId="0" applyNumberFormat="1" applyFont="1" applyFill="1" applyBorder="1"/>
    <xf numFmtId="166" fontId="8" fillId="6" borderId="2" xfId="0" applyNumberFormat="1" applyFont="1" applyFill="1" applyBorder="1"/>
    <xf numFmtId="166" fontId="8" fillId="6" borderId="17" xfId="0" applyNumberFormat="1" applyFont="1" applyFill="1" applyBorder="1"/>
    <xf numFmtId="166" fontId="8" fillId="6" borderId="6" xfId="0" applyNumberFormat="1" applyFont="1" applyFill="1" applyBorder="1"/>
    <xf numFmtId="0" fontId="8" fillId="6" borderId="12" xfId="0" applyFont="1" applyFill="1" applyBorder="1" applyAlignment="1">
      <alignment horizontal="center"/>
    </xf>
    <xf numFmtId="0" fontId="33" fillId="6" borderId="13" xfId="0" applyFont="1" applyFill="1" applyBorder="1" applyAlignment="1">
      <alignment horizontal="left" wrapText="1"/>
    </xf>
    <xf numFmtId="166" fontId="8" fillId="6" borderId="14" xfId="0" applyNumberFormat="1" applyFont="1" applyFill="1" applyBorder="1"/>
    <xf numFmtId="166" fontId="8" fillId="6" borderId="12" xfId="0" applyNumberFormat="1" applyFont="1" applyFill="1" applyBorder="1"/>
    <xf numFmtId="166" fontId="8" fillId="6" borderId="13" xfId="0" applyNumberFormat="1" applyFont="1" applyFill="1" applyBorder="1"/>
    <xf numFmtId="0" fontId="8" fillId="0" borderId="0" xfId="0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33" fillId="0" borderId="0" xfId="0" applyFont="1" applyAlignment="1">
      <alignment horizontal="right" vertical="center"/>
    </xf>
    <xf numFmtId="166" fontId="8" fillId="0" borderId="0" xfId="0" applyNumberFormat="1" applyFont="1" applyAlignment="1">
      <alignment vertical="center"/>
    </xf>
    <xf numFmtId="0" fontId="8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vertical="center"/>
    </xf>
    <xf numFmtId="0" fontId="8" fillId="6" borderId="36" xfId="0" applyFont="1" applyFill="1" applyBorder="1" applyAlignment="1">
      <alignment horizontal="center"/>
    </xf>
    <xf numFmtId="0" fontId="33" fillId="6" borderId="37" xfId="0" applyFont="1" applyFill="1" applyBorder="1" applyAlignment="1">
      <alignment horizontal="left" wrapText="1"/>
    </xf>
    <xf numFmtId="166" fontId="8" fillId="6" borderId="38" xfId="0" applyNumberFormat="1" applyFont="1" applyFill="1" applyBorder="1"/>
    <xf numFmtId="166" fontId="8" fillId="6" borderId="36" xfId="0" applyNumberFormat="1" applyFont="1" applyFill="1" applyBorder="1"/>
    <xf numFmtId="166" fontId="8" fillId="6" borderId="37" xfId="0" applyNumberFormat="1" applyFont="1" applyFill="1" applyBorder="1"/>
    <xf numFmtId="166" fontId="25" fillId="6" borderId="38" xfId="0" applyNumberFormat="1" applyFont="1" applyFill="1" applyBorder="1" applyAlignment="1">
      <alignment vertical="center"/>
    </xf>
    <xf numFmtId="166" fontId="25" fillId="6" borderId="36" xfId="0" applyNumberFormat="1" applyFont="1" applyFill="1" applyBorder="1" applyAlignment="1">
      <alignment vertical="center"/>
    </xf>
    <xf numFmtId="166" fontId="25" fillId="6" borderId="37" xfId="0" applyNumberFormat="1" applyFont="1" applyFill="1" applyBorder="1" applyAlignment="1">
      <alignment vertical="center"/>
    </xf>
    <xf numFmtId="0" fontId="42" fillId="0" borderId="0" xfId="0" applyFont="1"/>
    <xf numFmtId="0" fontId="43" fillId="0" borderId="0" xfId="0" applyFont="1"/>
    <xf numFmtId="166" fontId="42" fillId="6" borderId="21" xfId="0" applyNumberFormat="1" applyFont="1" applyFill="1" applyBorder="1"/>
    <xf numFmtId="166" fontId="42" fillId="13" borderId="28" xfId="0" applyNumberFormat="1" applyFont="1" applyFill="1" applyBorder="1"/>
    <xf numFmtId="166" fontId="42" fillId="6" borderId="23" xfId="0" applyNumberFormat="1" applyFont="1" applyFill="1" applyBorder="1"/>
    <xf numFmtId="166" fontId="42" fillId="13" borderId="29" xfId="0" applyNumberFormat="1" applyFont="1" applyFill="1" applyBorder="1"/>
    <xf numFmtId="166" fontId="42" fillId="6" borderId="26" xfId="0" applyNumberFormat="1" applyFont="1" applyFill="1" applyBorder="1"/>
    <xf numFmtId="166" fontId="42" fillId="13" borderId="30" xfId="0" applyNumberFormat="1" applyFont="1" applyFill="1" applyBorder="1"/>
    <xf numFmtId="166" fontId="42" fillId="0" borderId="0" xfId="0" applyNumberFormat="1" applyFont="1" applyFill="1" applyBorder="1" applyAlignment="1">
      <alignment vertical="center"/>
    </xf>
    <xf numFmtId="0" fontId="42" fillId="0" borderId="0" xfId="0" applyFont="1" applyFill="1" applyAlignment="1">
      <alignment vertical="center"/>
    </xf>
    <xf numFmtId="166" fontId="42" fillId="0" borderId="0" xfId="0" applyNumberFormat="1" applyFont="1"/>
    <xf numFmtId="0" fontId="42" fillId="0" borderId="0" xfId="0" applyFont="1" applyFill="1"/>
    <xf numFmtId="166" fontId="42" fillId="6" borderId="32" xfId="0" applyNumberFormat="1" applyFont="1" applyFill="1" applyBorder="1"/>
    <xf numFmtId="166" fontId="42" fillId="0" borderId="0" xfId="0" applyNumberFormat="1" applyFont="1" applyFill="1"/>
    <xf numFmtId="166" fontId="42" fillId="13" borderId="27" xfId="0" applyNumberFormat="1" applyFont="1" applyFill="1" applyBorder="1"/>
    <xf numFmtId="166" fontId="43" fillId="0" borderId="0" xfId="0" applyNumberFormat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12" borderId="2" xfId="0" applyFill="1" applyBorder="1" applyAlignment="1">
      <alignment horizontal="left"/>
    </xf>
    <xf numFmtId="169" fontId="16" fillId="12" borderId="2" xfId="8" applyNumberFormat="1" applyFont="1" applyFill="1" applyBorder="1" applyAlignment="1">
      <alignment horizontal="center" vertical="center"/>
    </xf>
    <xf numFmtId="0" fontId="0" fillId="12" borderId="2" xfId="0" applyFill="1" applyBorder="1" applyAlignment="1">
      <alignment horizontal="center"/>
    </xf>
    <xf numFmtId="166" fontId="0" fillId="12" borderId="2" xfId="0" applyNumberFormat="1" applyFill="1" applyBorder="1" applyAlignment="1">
      <alignment horizontal="left"/>
    </xf>
    <xf numFmtId="166" fontId="0" fillId="12" borderId="0" xfId="0" applyNumberFormat="1" applyFill="1" applyBorder="1"/>
    <xf numFmtId="169" fontId="16" fillId="12" borderId="2" xfId="0" applyNumberFormat="1" applyFont="1" applyFill="1" applyBorder="1" applyAlignment="1">
      <alignment horizontal="center" vertical="center"/>
    </xf>
    <xf numFmtId="169" fontId="16" fillId="15" borderId="2" xfId="0" applyNumberFormat="1" applyFont="1" applyFill="1" applyBorder="1" applyAlignment="1">
      <alignment horizontal="center" vertical="center"/>
    </xf>
    <xf numFmtId="166" fontId="0" fillId="15" borderId="2" xfId="0" applyNumberFormat="1" applyFill="1" applyBorder="1" applyAlignment="1">
      <alignment horizontal="left"/>
    </xf>
    <xf numFmtId="166" fontId="0" fillId="15" borderId="2" xfId="4" applyFont="1" applyFill="1" applyBorder="1" applyAlignment="1">
      <alignment horizontal="left"/>
    </xf>
    <xf numFmtId="166" fontId="0" fillId="15" borderId="2" xfId="4" applyFont="1" applyFill="1" applyBorder="1"/>
    <xf numFmtId="169" fontId="16" fillId="15" borderId="2" xfId="8" applyNumberFormat="1" applyFont="1" applyFill="1" applyBorder="1" applyAlignment="1">
      <alignment horizontal="center" vertical="center"/>
    </xf>
    <xf numFmtId="0" fontId="0" fillId="15" borderId="2" xfId="0" applyFill="1" applyBorder="1" applyAlignment="1">
      <alignment horizontal="center"/>
    </xf>
    <xf numFmtId="166" fontId="0" fillId="12" borderId="2" xfId="0" applyNumberFormat="1" applyFill="1" applyBorder="1"/>
    <xf numFmtId="166" fontId="0" fillId="15" borderId="2" xfId="0" applyNumberFormat="1" applyFill="1" applyBorder="1"/>
    <xf numFmtId="169" fontId="16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4" applyFont="1" applyBorder="1"/>
    <xf numFmtId="0" fontId="0" fillId="0" borderId="0" xfId="0" applyFill="1" applyBorder="1"/>
    <xf numFmtId="166" fontId="0" fillId="0" borderId="0" xfId="4" applyFont="1" applyFill="1" applyBorder="1"/>
    <xf numFmtId="166" fontId="16" fillId="12" borderId="2" xfId="4" applyFont="1" applyFill="1" applyBorder="1" applyAlignment="1">
      <alignment horizontal="center" vertical="center"/>
    </xf>
    <xf numFmtId="166" fontId="16" fillId="0" borderId="0" xfId="4" applyFont="1" applyFill="1" applyBorder="1" applyAlignment="1">
      <alignment horizontal="center" vertical="center"/>
    </xf>
    <xf numFmtId="166" fontId="16" fillId="15" borderId="2" xfId="4" applyFont="1" applyFill="1" applyBorder="1" applyAlignment="1">
      <alignment horizontal="center" vertical="center"/>
    </xf>
    <xf numFmtId="0" fontId="4" fillId="0" borderId="1" xfId="5" applyFont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/>
    </xf>
    <xf numFmtId="166" fontId="8" fillId="0" borderId="0" xfId="0" applyNumberFormat="1" applyFont="1" applyFill="1"/>
    <xf numFmtId="166" fontId="25" fillId="0" borderId="0" xfId="0" applyNumberFormat="1" applyFont="1" applyFill="1" applyBorder="1" applyAlignment="1">
      <alignment vertical="center"/>
    </xf>
    <xf numFmtId="166" fontId="0" fillId="0" borderId="0" xfId="0" applyNumberFormat="1" applyFill="1" applyBorder="1"/>
    <xf numFmtId="0" fontId="43" fillId="0" borderId="0" xfId="0" applyFont="1" applyFill="1"/>
    <xf numFmtId="166" fontId="43" fillId="0" borderId="0" xfId="0" applyNumberFormat="1" applyFont="1" applyFill="1"/>
    <xf numFmtId="166" fontId="8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6" fontId="42" fillId="0" borderId="0" xfId="0" applyNumberFormat="1" applyFont="1" applyFill="1" applyBorder="1"/>
    <xf numFmtId="0" fontId="42" fillId="0" borderId="0" xfId="0" applyFont="1" applyFill="1" applyBorder="1"/>
    <xf numFmtId="0" fontId="4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1" fillId="16" borderId="28" xfId="0" applyFont="1" applyFill="1" applyBorder="1" applyAlignment="1">
      <alignment horizontal="center"/>
    </xf>
    <xf numFmtId="166" fontId="8" fillId="16" borderId="40" xfId="0" applyNumberFormat="1" applyFont="1" applyFill="1" applyBorder="1"/>
    <xf numFmtId="166" fontId="8" fillId="16" borderId="41" xfId="0" applyNumberFormat="1" applyFont="1" applyFill="1" applyBorder="1"/>
    <xf numFmtId="166" fontId="8" fillId="16" borderId="42" xfId="0" applyNumberFormat="1" applyFont="1" applyFill="1" applyBorder="1"/>
    <xf numFmtId="166" fontId="8" fillId="16" borderId="27" xfId="0" applyNumberFormat="1" applyFont="1" applyFill="1" applyBorder="1"/>
    <xf numFmtId="166" fontId="25" fillId="16" borderId="38" xfId="0" applyNumberFormat="1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8" fillId="0" borderId="0" xfId="0" applyFont="1" applyBorder="1"/>
    <xf numFmtId="0" fontId="8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3" fillId="0" borderId="0" xfId="0" applyFont="1" applyBorder="1" applyAlignment="1">
      <alignment horizontal="right" vertical="center"/>
    </xf>
    <xf numFmtId="166" fontId="8" fillId="0" borderId="0" xfId="0" applyNumberFormat="1" applyFont="1" applyBorder="1" applyAlignment="1">
      <alignment vertical="center"/>
    </xf>
    <xf numFmtId="0" fontId="8" fillId="0" borderId="0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right" vertical="center"/>
    </xf>
    <xf numFmtId="166" fontId="8" fillId="0" borderId="0" xfId="0" applyNumberFormat="1" applyFont="1" applyBorder="1"/>
    <xf numFmtId="0" fontId="25" fillId="0" borderId="0" xfId="0" applyFont="1" applyBorder="1" applyAlignment="1">
      <alignment vertical="center"/>
    </xf>
    <xf numFmtId="166" fontId="8" fillId="0" borderId="2" xfId="6" applyFont="1" applyBorder="1" applyAlignment="1">
      <alignment horizontal="right" vertical="center"/>
    </xf>
    <xf numFmtId="0" fontId="4" fillId="0" borderId="0" xfId="0" applyFont="1" applyBorder="1"/>
    <xf numFmtId="0" fontId="26" fillId="0" borderId="0" xfId="0" applyFont="1"/>
    <xf numFmtId="0" fontId="41" fillId="17" borderId="36" xfId="0" applyFont="1" applyFill="1" applyBorder="1" applyAlignment="1">
      <alignment horizontal="center"/>
    </xf>
    <xf numFmtId="0" fontId="41" fillId="17" borderId="37" xfId="0" applyFont="1" applyFill="1" applyBorder="1" applyAlignment="1">
      <alignment horizontal="center"/>
    </xf>
    <xf numFmtId="0" fontId="41" fillId="17" borderId="38" xfId="0" applyFont="1" applyFill="1" applyBorder="1" applyAlignment="1">
      <alignment horizontal="center"/>
    </xf>
    <xf numFmtId="0" fontId="8" fillId="17" borderId="34" xfId="0" applyFont="1" applyFill="1" applyBorder="1" applyAlignment="1">
      <alignment horizontal="center"/>
    </xf>
    <xf numFmtId="0" fontId="33" fillId="17" borderId="7" xfId="0" applyFont="1" applyFill="1" applyBorder="1" applyAlignment="1">
      <alignment horizontal="left" wrapText="1"/>
    </xf>
    <xf numFmtId="166" fontId="8" fillId="17" borderId="35" xfId="0" applyNumberFormat="1" applyFont="1" applyFill="1" applyBorder="1"/>
    <xf numFmtId="0" fontId="8" fillId="17" borderId="15" xfId="0" applyFont="1" applyFill="1" applyBorder="1" applyAlignment="1">
      <alignment horizontal="center"/>
    </xf>
    <xf numFmtId="0" fontId="33" fillId="17" borderId="2" xfId="0" applyFont="1" applyFill="1" applyBorder="1" applyAlignment="1">
      <alignment horizontal="left" wrapText="1"/>
    </xf>
    <xf numFmtId="166" fontId="8" fillId="17" borderId="16" xfId="0" applyNumberFormat="1" applyFont="1" applyFill="1" applyBorder="1"/>
    <xf numFmtId="0" fontId="8" fillId="17" borderId="17" xfId="0" applyFont="1" applyFill="1" applyBorder="1" applyAlignment="1">
      <alignment horizontal="center"/>
    </xf>
    <xf numFmtId="0" fontId="33" fillId="17" borderId="6" xfId="0" applyFont="1" applyFill="1" applyBorder="1" applyAlignment="1">
      <alignment horizontal="left" wrapText="1"/>
    </xf>
    <xf numFmtId="166" fontId="8" fillId="17" borderId="18" xfId="0" applyNumberFormat="1" applyFont="1" applyFill="1" applyBorder="1"/>
    <xf numFmtId="166" fontId="8" fillId="17" borderId="15" xfId="0" applyNumberFormat="1" applyFont="1" applyFill="1" applyBorder="1"/>
    <xf numFmtId="166" fontId="8" fillId="17" borderId="2" xfId="0" applyNumberFormat="1" applyFont="1" applyFill="1" applyBorder="1"/>
    <xf numFmtId="166" fontId="8" fillId="17" borderId="17" xfId="0" applyNumberFormat="1" applyFont="1" applyFill="1" applyBorder="1"/>
    <xf numFmtId="166" fontId="8" fillId="17" borderId="6" xfId="0" applyNumberFormat="1" applyFont="1" applyFill="1" applyBorder="1"/>
    <xf numFmtId="0" fontId="8" fillId="17" borderId="12" xfId="0" applyFont="1" applyFill="1" applyBorder="1" applyAlignment="1">
      <alignment horizontal="center"/>
    </xf>
    <xf numFmtId="0" fontId="33" fillId="17" borderId="13" xfId="0" applyFont="1" applyFill="1" applyBorder="1" applyAlignment="1">
      <alignment horizontal="left" wrapText="1"/>
    </xf>
    <xf numFmtId="166" fontId="8" fillId="17" borderId="14" xfId="0" applyNumberFormat="1" applyFont="1" applyFill="1" applyBorder="1"/>
    <xf numFmtId="166" fontId="8" fillId="17" borderId="12" xfId="0" applyNumberFormat="1" applyFont="1" applyFill="1" applyBorder="1"/>
    <xf numFmtId="166" fontId="8" fillId="17" borderId="13" xfId="0" applyNumberFormat="1" applyFont="1" applyFill="1" applyBorder="1"/>
    <xf numFmtId="0" fontId="8" fillId="17" borderId="36" xfId="0" applyFont="1" applyFill="1" applyBorder="1" applyAlignment="1">
      <alignment horizontal="center"/>
    </xf>
    <xf numFmtId="0" fontId="33" fillId="17" borderId="37" xfId="0" applyFont="1" applyFill="1" applyBorder="1" applyAlignment="1">
      <alignment horizontal="left" wrapText="1"/>
    </xf>
    <xf numFmtId="166" fontId="8" fillId="17" borderId="38" xfId="0" applyNumberFormat="1" applyFont="1" applyFill="1" applyBorder="1"/>
    <xf numFmtId="166" fontId="8" fillId="17" borderId="36" xfId="0" applyNumberFormat="1" applyFont="1" applyFill="1" applyBorder="1"/>
    <xf numFmtId="166" fontId="8" fillId="17" borderId="37" xfId="0" applyNumberFormat="1" applyFont="1" applyFill="1" applyBorder="1"/>
    <xf numFmtId="166" fontId="25" fillId="17" borderId="38" xfId="0" applyNumberFormat="1" applyFont="1" applyFill="1" applyBorder="1" applyAlignment="1">
      <alignment vertical="center"/>
    </xf>
    <xf numFmtId="166" fontId="25" fillId="17" borderId="36" xfId="0" applyNumberFormat="1" applyFont="1" applyFill="1" applyBorder="1" applyAlignment="1">
      <alignment vertical="center"/>
    </xf>
    <xf numFmtId="166" fontId="25" fillId="17" borderId="37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5" applyFont="1" applyBorder="1" applyAlignment="1">
      <alignment horizontal="right" vertical="center"/>
    </xf>
    <xf numFmtId="166" fontId="0" fillId="0" borderId="0" xfId="0" applyNumberFormat="1" applyAlignment="1">
      <alignment horizontal="left"/>
    </xf>
    <xf numFmtId="0" fontId="4" fillId="0" borderId="0" xfId="0" applyFont="1" applyBorder="1" applyAlignment="1">
      <alignment horizontal="center"/>
    </xf>
    <xf numFmtId="0" fontId="26" fillId="0" borderId="0" xfId="5" applyFont="1" applyFill="1" applyAlignment="1">
      <alignment horizontal="center" wrapText="1"/>
    </xf>
    <xf numFmtId="166" fontId="42" fillId="0" borderId="0" xfId="0" applyNumberFormat="1" applyFont="1" applyFill="1" applyAlignment="1">
      <alignment vertical="center"/>
    </xf>
    <xf numFmtId="2" fontId="4" fillId="8" borderId="2" xfId="5" applyNumberFormat="1" applyFill="1" applyBorder="1" applyAlignment="1">
      <alignment horizontal="right" vertical="center"/>
    </xf>
    <xf numFmtId="167" fontId="4" fillId="0" borderId="2" xfId="97" applyFont="1" applyBorder="1" applyAlignment="1">
      <alignment horizontal="right" vertical="center"/>
    </xf>
    <xf numFmtId="166" fontId="0" fillId="13" borderId="0" xfId="0" applyNumberFormat="1" applyFill="1" applyBorder="1"/>
    <xf numFmtId="166" fontId="8" fillId="17" borderId="3" xfId="0" applyNumberFormat="1" applyFont="1" applyFill="1" applyBorder="1"/>
    <xf numFmtId="166" fontId="8" fillId="17" borderId="43" xfId="0" applyNumberFormat="1" applyFont="1" applyFill="1" applyBorder="1"/>
    <xf numFmtId="0" fontId="41" fillId="17" borderId="28" xfId="0" applyFont="1" applyFill="1" applyBorder="1" applyAlignment="1">
      <alignment horizontal="center"/>
    </xf>
    <xf numFmtId="166" fontId="8" fillId="17" borderId="44" xfId="0" applyNumberFormat="1" applyFont="1" applyFill="1" applyBorder="1"/>
    <xf numFmtId="166" fontId="8" fillId="17" borderId="40" xfId="0" applyNumberFormat="1" applyFont="1" applyFill="1" applyBorder="1"/>
    <xf numFmtId="166" fontId="8" fillId="17" borderId="41" xfId="0" applyNumberFormat="1" applyFont="1" applyFill="1" applyBorder="1"/>
    <xf numFmtId="166" fontId="8" fillId="17" borderId="42" xfId="0" applyNumberFormat="1" applyFont="1" applyFill="1" applyBorder="1"/>
    <xf numFmtId="166" fontId="0" fillId="0" borderId="0" xfId="4" applyFont="1" applyAlignment="1">
      <alignment horizontal="center"/>
    </xf>
    <xf numFmtId="166" fontId="16" fillId="18" borderId="2" xfId="6" applyNumberFormat="1" applyFont="1" applyFill="1" applyBorder="1" applyAlignment="1">
      <alignment horizontal="right" vertical="center"/>
    </xf>
    <xf numFmtId="166" fontId="16" fillId="18" borderId="2" xfId="6" applyFont="1" applyFill="1" applyBorder="1" applyAlignment="1">
      <alignment horizontal="right" vertical="center"/>
    </xf>
    <xf numFmtId="0" fontId="4" fillId="18" borderId="0" xfId="5" applyFont="1" applyFill="1"/>
    <xf numFmtId="4" fontId="16" fillId="18" borderId="2" xfId="8" applyNumberFormat="1" applyFont="1" applyFill="1" applyBorder="1" applyAlignment="1">
      <alignment horizontal="right" vertical="center" wrapText="1"/>
    </xf>
    <xf numFmtId="166" fontId="24" fillId="18" borderId="2" xfId="6" applyFont="1" applyFill="1" applyBorder="1" applyAlignment="1">
      <alignment horizontal="right" vertical="center"/>
    </xf>
    <xf numFmtId="1" fontId="4" fillId="18" borderId="2" xfId="5" applyNumberFormat="1" applyFill="1" applyBorder="1" applyAlignment="1">
      <alignment horizontal="right" vertical="center"/>
    </xf>
    <xf numFmtId="0" fontId="41" fillId="17" borderId="45" xfId="0" applyFont="1" applyFill="1" applyBorder="1" applyAlignment="1">
      <alignment horizontal="center"/>
    </xf>
    <xf numFmtId="0" fontId="41" fillId="17" borderId="46" xfId="0" applyFont="1" applyFill="1" applyBorder="1" applyAlignment="1">
      <alignment horizontal="center"/>
    </xf>
    <xf numFmtId="0" fontId="41" fillId="17" borderId="47" xfId="0" applyFont="1" applyFill="1" applyBorder="1" applyAlignment="1">
      <alignment horizontal="center"/>
    </xf>
    <xf numFmtId="166" fontId="25" fillId="11" borderId="38" xfId="0" applyNumberFormat="1" applyFont="1" applyFill="1" applyBorder="1" applyAlignment="1">
      <alignment vertical="center"/>
    </xf>
    <xf numFmtId="0" fontId="4" fillId="0" borderId="0" xfId="0" applyFont="1" applyBorder="1" applyAlignment="1"/>
    <xf numFmtId="166" fontId="42" fillId="0" borderId="0" xfId="0" applyNumberFormat="1" applyFont="1" applyBorder="1"/>
    <xf numFmtId="0" fontId="42" fillId="0" borderId="0" xfId="0" applyFont="1" applyBorder="1"/>
    <xf numFmtId="166" fontId="42" fillId="6" borderId="0" xfId="0" applyNumberFormat="1" applyFont="1" applyFill="1" applyBorder="1"/>
    <xf numFmtId="0" fontId="35" fillId="17" borderId="0" xfId="0" applyFont="1" applyFill="1" applyAlignment="1">
      <alignment horizontal="center" vertical="center"/>
    </xf>
    <xf numFmtId="0" fontId="25" fillId="17" borderId="31" xfId="0" applyFont="1" applyFill="1" applyBorder="1" applyAlignment="1">
      <alignment horizontal="right" vertical="center"/>
    </xf>
    <xf numFmtId="0" fontId="25" fillId="17" borderId="39" xfId="0" applyFont="1" applyFill="1" applyBorder="1" applyAlignment="1">
      <alignment horizontal="right" vertical="center"/>
    </xf>
    <xf numFmtId="0" fontId="8" fillId="17" borderId="22" xfId="0" applyFont="1" applyFill="1" applyBorder="1" applyAlignment="1">
      <alignment horizontal="center" vertical="center"/>
    </xf>
    <xf numFmtId="0" fontId="8" fillId="17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5" fillId="6" borderId="0" xfId="0" applyFont="1" applyFill="1" applyAlignment="1">
      <alignment horizontal="center" vertical="center"/>
    </xf>
    <xf numFmtId="0" fontId="8" fillId="6" borderId="31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5" fillId="6" borderId="31" xfId="0" applyFont="1" applyFill="1" applyBorder="1" applyAlignment="1">
      <alignment horizontal="right" vertical="center"/>
    </xf>
    <xf numFmtId="0" fontId="25" fillId="6" borderId="39" xfId="0" applyFont="1" applyFill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1" fillId="0" borderId="0" xfId="5" applyFont="1" applyFill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4" fillId="0" borderId="0" xfId="5" applyFont="1" applyBorder="1" applyAlignment="1">
      <alignment horizontal="left" vertical="center"/>
    </xf>
    <xf numFmtId="0" fontId="4" fillId="0" borderId="0" xfId="5" applyFont="1" applyAlignment="1">
      <alignment horizontal="left" vertical="center"/>
    </xf>
    <xf numFmtId="164" fontId="8" fillId="0" borderId="10" xfId="5" applyNumberFormat="1" applyFont="1" applyBorder="1" applyAlignment="1">
      <alignment horizontal="center" vertical="center" wrapText="1"/>
    </xf>
    <xf numFmtId="0" fontId="8" fillId="2" borderId="3" xfId="5" applyFont="1" applyFill="1" applyBorder="1" applyAlignment="1">
      <alignment horizontal="right" vertical="center" wrapText="1"/>
    </xf>
    <xf numFmtId="0" fontId="8" fillId="2" borderId="4" xfId="5" applyFont="1" applyFill="1" applyBorder="1" applyAlignment="1">
      <alignment horizontal="right" vertical="center" wrapText="1"/>
    </xf>
    <xf numFmtId="0" fontId="8" fillId="2" borderId="5" xfId="5" applyFont="1" applyFill="1" applyBorder="1" applyAlignment="1">
      <alignment horizontal="right" vertical="center" wrapText="1"/>
    </xf>
    <xf numFmtId="0" fontId="15" fillId="0" borderId="0" xfId="5" applyFont="1" applyFill="1" applyAlignment="1">
      <alignment horizontal="center" vertical="center" wrapText="1"/>
    </xf>
    <xf numFmtId="0" fontId="8" fillId="0" borderId="0" xfId="5" applyFont="1" applyFill="1" applyAlignment="1">
      <alignment horizontal="center" vertical="center" wrapText="1"/>
    </xf>
    <xf numFmtId="0" fontId="9" fillId="10" borderId="8" xfId="2" applyNumberFormat="1" applyFont="1" applyFill="1" applyBorder="1" applyAlignment="1">
      <alignment horizontal="center" vertical="center" wrapText="1"/>
    </xf>
    <xf numFmtId="0" fontId="9" fillId="10" borderId="9" xfId="2" applyNumberFormat="1" applyFont="1" applyFill="1" applyBorder="1" applyAlignment="1">
      <alignment horizontal="center" vertical="center" wrapText="1"/>
    </xf>
    <xf numFmtId="166" fontId="9" fillId="10" borderId="8" xfId="6" applyFont="1" applyFill="1" applyBorder="1" applyAlignment="1">
      <alignment horizontal="center" vertical="center" wrapText="1"/>
    </xf>
    <xf numFmtId="166" fontId="9" fillId="10" borderId="9" xfId="6" applyFont="1" applyFill="1" applyBorder="1" applyAlignment="1">
      <alignment horizontal="center" vertical="center" wrapText="1"/>
    </xf>
    <xf numFmtId="0" fontId="8" fillId="2" borderId="2" xfId="5" applyFont="1" applyFill="1" applyBorder="1" applyAlignment="1">
      <alignment horizontal="center" vertical="center"/>
    </xf>
    <xf numFmtId="0" fontId="8" fillId="4" borderId="8" xfId="5" applyFont="1" applyFill="1" applyBorder="1" applyAlignment="1">
      <alignment horizontal="left" vertical="center"/>
    </xf>
    <xf numFmtId="0" fontId="8" fillId="4" borderId="7" xfId="5" applyFont="1" applyFill="1" applyBorder="1" applyAlignment="1">
      <alignment horizontal="left" vertical="center"/>
    </xf>
    <xf numFmtId="0" fontId="4" fillId="0" borderId="1" xfId="5" applyFont="1" applyBorder="1" applyAlignment="1">
      <alignment horizontal="right" vertical="center"/>
    </xf>
    <xf numFmtId="0" fontId="5" fillId="0" borderId="8" xfId="5" applyFont="1" applyFill="1" applyBorder="1" applyAlignment="1">
      <alignment horizontal="center" vertical="center" wrapText="1"/>
    </xf>
    <xf numFmtId="0" fontId="5" fillId="0" borderId="11" xfId="5" applyFont="1" applyFill="1" applyBorder="1" applyAlignment="1">
      <alignment horizontal="center" vertical="center" wrapText="1"/>
    </xf>
    <xf numFmtId="0" fontId="5" fillId="0" borderId="7" xfId="5" applyFont="1" applyFill="1" applyBorder="1" applyAlignment="1">
      <alignment horizontal="center" vertical="center" wrapText="1"/>
    </xf>
    <xf numFmtId="0" fontId="5" fillId="0" borderId="8" xfId="5" applyFont="1" applyBorder="1" applyAlignment="1">
      <alignment horizontal="center" vertical="center" wrapText="1"/>
    </xf>
    <xf numFmtId="0" fontId="5" fillId="0" borderId="11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166" fontId="36" fillId="10" borderId="8" xfId="4" applyFont="1" applyFill="1" applyBorder="1" applyAlignment="1">
      <alignment horizontal="center" vertical="center" wrapText="1"/>
    </xf>
    <xf numFmtId="166" fontId="36" fillId="10" borderId="9" xfId="4" applyFont="1" applyFill="1" applyBorder="1" applyAlignment="1">
      <alignment horizontal="center" vertical="center" wrapText="1"/>
    </xf>
    <xf numFmtId="0" fontId="8" fillId="0" borderId="0" xfId="5" applyFont="1" applyFill="1" applyAlignment="1">
      <alignment horizontal="center" wrapText="1"/>
    </xf>
    <xf numFmtId="0" fontId="26" fillId="0" borderId="0" xfId="5" applyFont="1" applyFill="1" applyAlignment="1">
      <alignment horizontal="center" wrapText="1"/>
    </xf>
    <xf numFmtId="0" fontId="25" fillId="0" borderId="0" xfId="5" applyFont="1" applyFill="1" applyAlignment="1">
      <alignment horizontal="center" wrapText="1"/>
    </xf>
  </cellXfs>
  <cellStyles count="98">
    <cellStyle name="Euro" xfId="1"/>
    <cellStyle name="Euro 2" xfId="10"/>
    <cellStyle name="Euro 3" xfId="11"/>
    <cellStyle name="Euro 4" xfId="12"/>
    <cellStyle name="Euro 5" xfId="13"/>
    <cellStyle name="Euro 5 2" xfId="14"/>
    <cellStyle name="Euro 6" xfId="91"/>
    <cellStyle name="Millares" xfId="97" builtinId="3"/>
    <cellStyle name="Millares 2" xfId="9"/>
    <cellStyle name="Millares 2 2" xfId="15"/>
    <cellStyle name="Millares 2 3" xfId="16"/>
    <cellStyle name="Millares 2 4" xfId="17"/>
    <cellStyle name="Millares 3" xfId="18"/>
    <cellStyle name="Millares 3 2" xfId="19"/>
    <cellStyle name="Millares 3 3" xfId="20"/>
    <cellStyle name="Millares 3 4" xfId="21"/>
    <cellStyle name="Millares 3 5" xfId="22"/>
    <cellStyle name="Millares 3 6" xfId="23"/>
    <cellStyle name="Millares 3 7" xfId="24"/>
    <cellStyle name="Millares 3 8" xfId="25"/>
    <cellStyle name="Millares 4" xfId="26"/>
    <cellStyle name="Millares 4 2" xfId="27"/>
    <cellStyle name="Moneda" xfId="4" builtinId="4"/>
    <cellStyle name="Moneda 10" xfId="96"/>
    <cellStyle name="Moneda 18" xfId="28"/>
    <cellStyle name="Moneda 2" xfId="6"/>
    <cellStyle name="Moneda 2 10" xfId="29"/>
    <cellStyle name="Moneda 2 11" xfId="30"/>
    <cellStyle name="Moneda 2 12" xfId="31"/>
    <cellStyle name="Moneda 2 13" xfId="32"/>
    <cellStyle name="Moneda 2 14" xfId="33"/>
    <cellStyle name="Moneda 2 15" xfId="34"/>
    <cellStyle name="Moneda 2 16" xfId="35"/>
    <cellStyle name="Moneda 2 17" xfId="36"/>
    <cellStyle name="Moneda 2 18" xfId="37"/>
    <cellStyle name="Moneda 2 19" xfId="38"/>
    <cellStyle name="Moneda 2 2" xfId="39"/>
    <cellStyle name="Moneda 2 2 2" xfId="40"/>
    <cellStyle name="Moneda 2 2 3" xfId="41"/>
    <cellStyle name="Moneda 2 2 4" xfId="42"/>
    <cellStyle name="Moneda 2 2 5" xfId="43"/>
    <cellStyle name="Moneda 2 20" xfId="44"/>
    <cellStyle name="Moneda 2 3" xfId="45"/>
    <cellStyle name="Moneda 2 4" xfId="46"/>
    <cellStyle name="Moneda 2 5" xfId="47"/>
    <cellStyle name="Moneda 2 6" xfId="48"/>
    <cellStyle name="Moneda 2 7" xfId="49"/>
    <cellStyle name="Moneda 2 8" xfId="50"/>
    <cellStyle name="Moneda 2 9" xfId="51"/>
    <cellStyle name="Moneda 3" xfId="52"/>
    <cellStyle name="Moneda 3 2" xfId="53"/>
    <cellStyle name="Moneda 3 2 2" xfId="54"/>
    <cellStyle name="Moneda 4" xfId="55"/>
    <cellStyle name="Moneda 5" xfId="56"/>
    <cellStyle name="Moneda 5 2" xfId="57"/>
    <cellStyle name="Moneda 6" xfId="58"/>
    <cellStyle name="Moneda 6 2" xfId="59"/>
    <cellStyle name="Moneda 7" xfId="60"/>
    <cellStyle name="Moneda 7 2" xfId="61"/>
    <cellStyle name="Moneda 8" xfId="62"/>
    <cellStyle name="Moneda 9" xfId="92"/>
    <cellStyle name="Normal" xfId="0" builtinId="0"/>
    <cellStyle name="Normal 10" xfId="8"/>
    <cellStyle name="Normal 11" xfId="63"/>
    <cellStyle name="Normal 12" xfId="64"/>
    <cellStyle name="Normal 13" xfId="65"/>
    <cellStyle name="Normal 14" xfId="66"/>
    <cellStyle name="Normal 15" xfId="67"/>
    <cellStyle name="Normal 16" xfId="93"/>
    <cellStyle name="Normal 16 2" xfId="68"/>
    <cellStyle name="Normal 17" xfId="95"/>
    <cellStyle name="Normal 17 2" xfId="69"/>
    <cellStyle name="Normal 18 2" xfId="70"/>
    <cellStyle name="Normal 2" xfId="5"/>
    <cellStyle name="Normal 2 2" xfId="71"/>
    <cellStyle name="Normal 2 2 2" xfId="72"/>
    <cellStyle name="Normal 3" xfId="7"/>
    <cellStyle name="Normal 3 2" xfId="73"/>
    <cellStyle name="Normal 3 3" xfId="74"/>
    <cellStyle name="Normal 3 4" xfId="75"/>
    <cellStyle name="Normal 3 5" xfId="76"/>
    <cellStyle name="Normal 3 6" xfId="77"/>
    <cellStyle name="Normal 3 7" xfId="78"/>
    <cellStyle name="Normal 3 8" xfId="79"/>
    <cellStyle name="Normal 3 9" xfId="80"/>
    <cellStyle name="Normal 4" xfId="81"/>
    <cellStyle name="Normal 5" xfId="82"/>
    <cellStyle name="Normal 6" xfId="83"/>
    <cellStyle name="Normal 7" xfId="84"/>
    <cellStyle name="Normal 8" xfId="85"/>
    <cellStyle name="Normal 9" xfId="86"/>
    <cellStyle name="Normal_~9885111 2" xfId="2"/>
    <cellStyle name="Porcentual 2" xfId="3"/>
    <cellStyle name="Porcentual 2 2" xfId="87"/>
    <cellStyle name="Porcentual 2 3" xfId="88"/>
    <cellStyle name="Porcentual 2 3 2" xfId="89"/>
    <cellStyle name="Porcentual 3" xfId="90"/>
    <cellStyle name="Porcentual 4" xfId="94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1</xdr:col>
      <xdr:colOff>877756</xdr:colOff>
      <xdr:row>3</xdr:row>
      <xdr:rowOff>116417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6"/>
          <a:ext cx="1896931" cy="621241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0</xdr:row>
      <xdr:rowOff>39686</xdr:rowOff>
    </xdr:from>
    <xdr:to>
      <xdr:col>3</xdr:col>
      <xdr:colOff>428980</xdr:colOff>
      <xdr:row>5</xdr:row>
      <xdr:rowOff>174624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157" y="39686"/>
          <a:ext cx="3655573" cy="1230313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353218</xdr:colOff>
      <xdr:row>0</xdr:row>
      <xdr:rowOff>111125</xdr:rowOff>
    </xdr:from>
    <xdr:to>
      <xdr:col>3</xdr:col>
      <xdr:colOff>773208</xdr:colOff>
      <xdr:row>6</xdr:row>
      <xdr:rowOff>19844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218" y="111125"/>
          <a:ext cx="3753740" cy="1258094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312208</xdr:colOff>
      <xdr:row>0</xdr:row>
      <xdr:rowOff>158750</xdr:rowOff>
    </xdr:from>
    <xdr:to>
      <xdr:col>3</xdr:col>
      <xdr:colOff>486164</xdr:colOff>
      <xdr:row>6</xdr:row>
      <xdr:rowOff>10583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2208" y="158750"/>
          <a:ext cx="3507706" cy="1201208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349250</xdr:colOff>
      <xdr:row>0</xdr:row>
      <xdr:rowOff>179917</xdr:rowOff>
    </xdr:from>
    <xdr:to>
      <xdr:col>3</xdr:col>
      <xdr:colOff>523206</xdr:colOff>
      <xdr:row>6</xdr:row>
      <xdr:rowOff>31750</xdr:rowOff>
    </xdr:to>
    <xdr:pic>
      <xdr:nvPicPr>
        <xdr:cNvPr id="4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250" y="179917"/>
          <a:ext cx="3507706" cy="1201208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47624</xdr:rowOff>
    </xdr:from>
    <xdr:to>
      <xdr:col>3</xdr:col>
      <xdr:colOff>449242</xdr:colOff>
      <xdr:row>5</xdr:row>
      <xdr:rowOff>142874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9" y="47624"/>
          <a:ext cx="3497243" cy="1190625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148165</xdr:colOff>
      <xdr:row>0</xdr:row>
      <xdr:rowOff>95251</xdr:rowOff>
    </xdr:from>
    <xdr:to>
      <xdr:col>3</xdr:col>
      <xdr:colOff>291214</xdr:colOff>
      <xdr:row>5</xdr:row>
      <xdr:rowOff>190500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165" y="95251"/>
          <a:ext cx="3476799" cy="1190624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134937</xdr:colOff>
      <xdr:row>0</xdr:row>
      <xdr:rowOff>111124</xdr:rowOff>
    </xdr:from>
    <xdr:to>
      <xdr:col>2</xdr:col>
      <xdr:colOff>2474141</xdr:colOff>
      <xdr:row>5</xdr:row>
      <xdr:rowOff>79374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937" y="111124"/>
          <a:ext cx="3164704" cy="1063625"/>
        </a:xfrm>
        <a:prstGeom prst="rect">
          <a:avLst/>
        </a:prstGeom>
        <a:noFill/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158748</xdr:colOff>
      <xdr:row>0</xdr:row>
      <xdr:rowOff>100542</xdr:rowOff>
    </xdr:from>
    <xdr:to>
      <xdr:col>3</xdr:col>
      <xdr:colOff>286347</xdr:colOff>
      <xdr:row>5</xdr:row>
      <xdr:rowOff>190500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8" y="100542"/>
          <a:ext cx="3461349" cy="1185333"/>
        </a:xfrm>
        <a:prstGeom prst="rect">
          <a:avLst/>
        </a:prstGeom>
        <a:noFill/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161925</xdr:rowOff>
    </xdr:from>
    <xdr:to>
      <xdr:col>3</xdr:col>
      <xdr:colOff>443597</xdr:colOff>
      <xdr:row>5</xdr:row>
      <xdr:rowOff>238125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49" y="161925"/>
          <a:ext cx="3477311" cy="114776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66676</xdr:rowOff>
    </xdr:from>
    <xdr:to>
      <xdr:col>1</xdr:col>
      <xdr:colOff>1581913</xdr:colOff>
      <xdr:row>3</xdr:row>
      <xdr:rowOff>222250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66676"/>
          <a:ext cx="2220088" cy="727074"/>
        </a:xfrm>
        <a:prstGeom prst="rect">
          <a:avLst/>
        </a:prstGeom>
        <a:noFill/>
      </xdr:spPr>
    </xdr:pic>
    <xdr:clientData/>
  </xdr:twoCellAnchor>
  <xdr:twoCellAnchor>
    <xdr:from>
      <xdr:col>1</xdr:col>
      <xdr:colOff>1502833</xdr:colOff>
      <xdr:row>12</xdr:row>
      <xdr:rowOff>0</xdr:rowOff>
    </xdr:from>
    <xdr:to>
      <xdr:col>8</xdr:col>
      <xdr:colOff>222250</xdr:colOff>
      <xdr:row>31</xdr:row>
      <xdr:rowOff>52917</xdr:rowOff>
    </xdr:to>
    <xdr:sp macro="" textlink="">
      <xdr:nvSpPr>
        <xdr:cNvPr id="3" name="2 Rectángulo"/>
        <xdr:cNvSpPr/>
      </xdr:nvSpPr>
      <xdr:spPr>
        <a:xfrm>
          <a:off x="2264833" y="2391833"/>
          <a:ext cx="6561667" cy="38523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s-ES" sz="1100"/>
            <a:t>NO IMPRIMIR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231321</xdr:colOff>
      <xdr:row>0</xdr:row>
      <xdr:rowOff>95250</xdr:rowOff>
    </xdr:from>
    <xdr:to>
      <xdr:col>3</xdr:col>
      <xdr:colOff>51031</xdr:colOff>
      <xdr:row>4</xdr:row>
      <xdr:rowOff>114300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1" y="95250"/>
          <a:ext cx="3172510" cy="106680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0</xdr:row>
      <xdr:rowOff>47624</xdr:rowOff>
    </xdr:from>
    <xdr:to>
      <xdr:col>3</xdr:col>
      <xdr:colOff>43415</xdr:colOff>
      <xdr:row>5</xdr:row>
      <xdr:rowOff>35718</xdr:rowOff>
    </xdr:to>
    <xdr:pic>
      <xdr:nvPicPr>
        <xdr:cNvPr id="1027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49" y="47624"/>
          <a:ext cx="3218416" cy="1083469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63499</xdr:rowOff>
    </xdr:from>
    <xdr:to>
      <xdr:col>2</xdr:col>
      <xdr:colOff>2470526</xdr:colOff>
      <xdr:row>5</xdr:row>
      <xdr:rowOff>11905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63499"/>
          <a:ext cx="3113464" cy="1043781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0</xdr:row>
      <xdr:rowOff>112184</xdr:rowOff>
    </xdr:from>
    <xdr:to>
      <xdr:col>2</xdr:col>
      <xdr:colOff>2130909</xdr:colOff>
      <xdr:row>4</xdr:row>
      <xdr:rowOff>137584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833" y="112184"/>
          <a:ext cx="2861159" cy="94615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89958</xdr:colOff>
      <xdr:row>0</xdr:row>
      <xdr:rowOff>84666</xdr:rowOff>
    </xdr:from>
    <xdr:to>
      <xdr:col>3</xdr:col>
      <xdr:colOff>438632</xdr:colOff>
      <xdr:row>3</xdr:row>
      <xdr:rowOff>196849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0791" y="84666"/>
          <a:ext cx="2867508" cy="937683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206375</xdr:colOff>
      <xdr:row>0</xdr:row>
      <xdr:rowOff>84667</xdr:rowOff>
    </xdr:from>
    <xdr:to>
      <xdr:col>2</xdr:col>
      <xdr:colOff>2333050</xdr:colOff>
      <xdr:row>3</xdr:row>
      <xdr:rowOff>196850</xdr:rowOff>
    </xdr:to>
    <xdr:pic>
      <xdr:nvPicPr>
        <xdr:cNvPr id="2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75" y="84667"/>
          <a:ext cx="2867508" cy="937683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250032</xdr:rowOff>
    </xdr:from>
    <xdr:to>
      <xdr:col>3</xdr:col>
      <xdr:colOff>230785</xdr:colOff>
      <xdr:row>6</xdr:row>
      <xdr:rowOff>79375</xdr:rowOff>
    </xdr:to>
    <xdr:pic>
      <xdr:nvPicPr>
        <xdr:cNvPr id="3" name="logo" descr="http://www.jalisco.gob.mx/sites/all/themes/agob/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7" y="250032"/>
          <a:ext cx="3516908" cy="11787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4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5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76"/>
  <sheetViews>
    <sheetView view="pageBreakPreview" zoomScaleSheetLayoutView="100" workbookViewId="0">
      <selection activeCell="H54" sqref="H54"/>
    </sheetView>
  </sheetViews>
  <sheetFormatPr baseColWidth="10" defaultRowHeight="12.75" x14ac:dyDescent="0.2"/>
  <cols>
    <col min="1" max="1" width="1.28515625" customWidth="1"/>
    <col min="2" max="2" width="11.5703125" bestFit="1" customWidth="1"/>
    <col min="3" max="3" width="19.140625" customWidth="1"/>
    <col min="4" max="4" width="14" bestFit="1" customWidth="1"/>
    <col min="5" max="5" width="58.7109375" style="214" customWidth="1"/>
    <col min="6" max="6" width="13.7109375" bestFit="1" customWidth="1"/>
    <col min="7" max="7" width="13.28515625" bestFit="1" customWidth="1"/>
    <col min="8" max="8" width="14.28515625" customWidth="1"/>
    <col min="10" max="10" width="12.28515625" style="121" bestFit="1" customWidth="1"/>
  </cols>
  <sheetData>
    <row r="3" spans="2:9" ht="28.5" customHeight="1" x14ac:dyDescent="0.25">
      <c r="B3" s="271" t="s">
        <v>232</v>
      </c>
      <c r="C3" s="248"/>
      <c r="D3" s="248"/>
      <c r="E3" s="248"/>
      <c r="F3" s="248"/>
      <c r="G3" s="248"/>
      <c r="H3" s="248"/>
      <c r="I3" s="248"/>
    </row>
    <row r="4" spans="2:9" ht="13.5" thickBot="1" x14ac:dyDescent="0.25"/>
    <row r="5" spans="2:9" x14ac:dyDescent="0.2">
      <c r="B5" s="221" t="s">
        <v>168</v>
      </c>
      <c r="C5" s="222"/>
      <c r="D5" s="222"/>
      <c r="E5" s="223"/>
      <c r="F5" s="222"/>
      <c r="G5" s="222"/>
      <c r="H5" s="222"/>
      <c r="I5" s="224"/>
    </row>
    <row r="6" spans="2:9" x14ac:dyDescent="0.2">
      <c r="B6" s="225"/>
      <c r="C6" s="226"/>
      <c r="D6" s="226"/>
      <c r="E6" s="227"/>
      <c r="F6" s="226"/>
      <c r="G6" s="226"/>
      <c r="H6" s="226"/>
      <c r="I6" s="228"/>
    </row>
    <row r="7" spans="2:9" x14ac:dyDescent="0.2">
      <c r="B7" s="229">
        <v>1</v>
      </c>
      <c r="C7" s="226" t="s">
        <v>217</v>
      </c>
      <c r="D7" s="226"/>
      <c r="E7" s="227"/>
      <c r="F7" s="226"/>
      <c r="G7" s="226"/>
      <c r="H7" s="226"/>
      <c r="I7" s="228"/>
    </row>
    <row r="8" spans="2:9" x14ac:dyDescent="0.2">
      <c r="B8" s="229">
        <v>2</v>
      </c>
      <c r="C8" s="226" t="s">
        <v>218</v>
      </c>
      <c r="D8" s="226"/>
      <c r="E8" s="227"/>
      <c r="F8" s="226"/>
      <c r="G8" s="226"/>
      <c r="H8" s="226"/>
      <c r="I8" s="228"/>
    </row>
    <row r="9" spans="2:9" ht="13.5" thickBot="1" x14ac:dyDescent="0.25">
      <c r="B9" s="230"/>
      <c r="C9" s="231"/>
      <c r="D9" s="231"/>
      <c r="E9" s="232"/>
      <c r="F9" s="231"/>
      <c r="G9" s="231"/>
      <c r="H9" s="231"/>
      <c r="I9" s="233"/>
    </row>
    <row r="10" spans="2:9" ht="13.5" thickBot="1" x14ac:dyDescent="0.25">
      <c r="B10" s="213"/>
    </row>
    <row r="11" spans="2:9" x14ac:dyDescent="0.2">
      <c r="B11" s="234" t="s">
        <v>169</v>
      </c>
      <c r="C11" s="222"/>
      <c r="D11" s="222"/>
      <c r="E11" s="223"/>
      <c r="F11" s="222"/>
      <c r="G11" s="222"/>
      <c r="H11" s="222"/>
      <c r="I11" s="222"/>
    </row>
    <row r="12" spans="2:9" x14ac:dyDescent="0.2">
      <c r="B12" s="225"/>
      <c r="C12" s="226"/>
      <c r="D12" s="226"/>
      <c r="E12" s="227"/>
      <c r="F12" s="226"/>
      <c r="G12" s="226"/>
      <c r="H12" s="226"/>
      <c r="I12" s="226"/>
    </row>
    <row r="13" spans="2:9" x14ac:dyDescent="0.2">
      <c r="B13" s="229">
        <v>1</v>
      </c>
      <c r="C13" s="226" t="s">
        <v>217</v>
      </c>
      <c r="D13" s="226"/>
      <c r="E13" s="227"/>
      <c r="F13" s="226"/>
      <c r="G13" s="226"/>
      <c r="H13" s="226"/>
      <c r="I13" s="226"/>
    </row>
    <row r="14" spans="2:9" x14ac:dyDescent="0.2">
      <c r="B14" s="229">
        <v>2</v>
      </c>
      <c r="C14" s="226" t="s">
        <v>219</v>
      </c>
      <c r="D14" s="226"/>
      <c r="E14" s="227"/>
      <c r="F14" s="226"/>
      <c r="G14" s="226"/>
      <c r="H14" s="226"/>
      <c r="I14" s="226"/>
    </row>
    <row r="15" spans="2:9" x14ac:dyDescent="0.2">
      <c r="B15" s="229">
        <v>3</v>
      </c>
      <c r="C15" s="226" t="s">
        <v>220</v>
      </c>
      <c r="D15" s="226"/>
      <c r="E15" s="227"/>
      <c r="F15" s="226"/>
      <c r="G15" s="226"/>
      <c r="H15" s="226"/>
      <c r="I15" s="226"/>
    </row>
    <row r="16" spans="2:9" x14ac:dyDescent="0.2">
      <c r="B16" s="225"/>
      <c r="C16" s="226" t="s">
        <v>221</v>
      </c>
      <c r="D16" s="226"/>
      <c r="E16" s="227"/>
      <c r="F16" s="226"/>
      <c r="G16" s="226"/>
      <c r="H16" s="226"/>
      <c r="I16" s="226"/>
    </row>
    <row r="17" spans="2:9" ht="13.5" thickBot="1" x14ac:dyDescent="0.25">
      <c r="B17" s="225"/>
      <c r="C17" s="226"/>
      <c r="D17" s="226"/>
      <c r="E17" s="227"/>
      <c r="F17" s="226"/>
      <c r="G17" s="226"/>
      <c r="H17" s="226"/>
      <c r="I17" s="226"/>
    </row>
    <row r="18" spans="2:9" ht="20.25" customHeight="1" x14ac:dyDescent="0.2">
      <c r="B18" s="225"/>
      <c r="C18" s="215" t="s">
        <v>222</v>
      </c>
      <c r="D18" s="216" t="s">
        <v>223</v>
      </c>
      <c r="E18" s="217" t="s">
        <v>224</v>
      </c>
      <c r="F18" s="226"/>
      <c r="G18" s="226"/>
      <c r="H18" s="226"/>
      <c r="I18" s="226"/>
    </row>
    <row r="19" spans="2:9" x14ac:dyDescent="0.2">
      <c r="B19" s="225"/>
      <c r="C19" s="225"/>
      <c r="D19" s="226"/>
      <c r="E19" s="235"/>
      <c r="F19" s="226"/>
      <c r="G19" s="226"/>
      <c r="H19" s="226"/>
      <c r="I19" s="226"/>
    </row>
    <row r="20" spans="2:9" x14ac:dyDescent="0.2">
      <c r="B20" s="225"/>
      <c r="C20" s="236">
        <v>2411</v>
      </c>
      <c r="D20" s="237">
        <v>7000</v>
      </c>
      <c r="E20" s="238" t="s">
        <v>226</v>
      </c>
      <c r="F20" s="226"/>
      <c r="G20" s="226"/>
      <c r="H20" s="226"/>
      <c r="I20" s="226"/>
    </row>
    <row r="21" spans="2:9" x14ac:dyDescent="0.2">
      <c r="B21" s="225"/>
      <c r="C21" s="236">
        <v>2431</v>
      </c>
      <c r="D21" s="237">
        <v>5000</v>
      </c>
      <c r="E21" s="239" t="s">
        <v>186</v>
      </c>
      <c r="F21" s="226"/>
      <c r="G21" s="226"/>
      <c r="H21" s="226"/>
      <c r="I21" s="226"/>
    </row>
    <row r="22" spans="2:9" x14ac:dyDescent="0.2">
      <c r="B22" s="225"/>
      <c r="C22" s="240">
        <v>2481</v>
      </c>
      <c r="D22" s="237">
        <v>10000</v>
      </c>
      <c r="E22" s="239" t="s">
        <v>184</v>
      </c>
      <c r="F22" s="226"/>
      <c r="G22" s="226"/>
      <c r="H22" s="226"/>
      <c r="I22" s="226"/>
    </row>
    <row r="23" spans="2:9" x14ac:dyDescent="0.2">
      <c r="B23" s="225"/>
      <c r="C23" s="236">
        <v>2491</v>
      </c>
      <c r="D23" s="237">
        <v>5000</v>
      </c>
      <c r="E23" s="239" t="s">
        <v>185</v>
      </c>
      <c r="F23" s="226"/>
      <c r="G23" s="226"/>
      <c r="H23" s="226"/>
      <c r="I23" s="226"/>
    </row>
    <row r="24" spans="2:9" ht="22.5" x14ac:dyDescent="0.2">
      <c r="B24" s="225"/>
      <c r="C24" s="236">
        <v>2991</v>
      </c>
      <c r="D24" s="237">
        <v>3000</v>
      </c>
      <c r="E24" s="238" t="s">
        <v>188</v>
      </c>
      <c r="F24" s="226"/>
      <c r="G24" s="226"/>
      <c r="H24" s="226"/>
      <c r="I24" s="226"/>
    </row>
    <row r="25" spans="2:9" ht="22.5" x14ac:dyDescent="0.2">
      <c r="B25" s="225"/>
      <c r="C25" s="236">
        <v>3261</v>
      </c>
      <c r="D25" s="237">
        <v>7000</v>
      </c>
      <c r="E25" s="238" t="s">
        <v>227</v>
      </c>
      <c r="F25" s="226"/>
      <c r="G25" s="226"/>
      <c r="H25" s="226"/>
      <c r="I25" s="226"/>
    </row>
    <row r="26" spans="2:9" ht="22.5" x14ac:dyDescent="0.2">
      <c r="B26" s="225"/>
      <c r="C26" s="236">
        <v>3451</v>
      </c>
      <c r="D26" s="237">
        <v>71602.539999999994</v>
      </c>
      <c r="E26" s="238" t="s">
        <v>225</v>
      </c>
      <c r="F26" s="226"/>
      <c r="G26" s="226"/>
      <c r="H26" s="226"/>
      <c r="I26" s="226"/>
    </row>
    <row r="27" spans="2:9" ht="23.25" thickBot="1" x14ac:dyDescent="0.25">
      <c r="B27" s="241"/>
      <c r="C27" s="242">
        <v>3541</v>
      </c>
      <c r="D27" s="243">
        <v>120000</v>
      </c>
      <c r="E27" s="244" t="s">
        <v>189</v>
      </c>
      <c r="F27" s="231"/>
      <c r="G27" s="231"/>
      <c r="H27" s="231"/>
      <c r="I27" s="231"/>
    </row>
    <row r="29" spans="2:9" ht="13.5" thickBot="1" x14ac:dyDescent="0.25"/>
    <row r="30" spans="2:9" x14ac:dyDescent="0.2">
      <c r="B30" s="234" t="s">
        <v>126</v>
      </c>
      <c r="C30" s="222"/>
      <c r="D30" s="222"/>
      <c r="E30" s="223"/>
      <c r="F30" s="222"/>
      <c r="G30" s="222"/>
      <c r="H30" s="222"/>
      <c r="I30" s="222"/>
    </row>
    <row r="31" spans="2:9" x14ac:dyDescent="0.2">
      <c r="B31" s="225"/>
      <c r="C31" s="226"/>
      <c r="D31" s="226"/>
      <c r="E31" s="227"/>
      <c r="F31" s="226"/>
      <c r="G31" s="226"/>
      <c r="H31" s="226"/>
      <c r="I31" s="226"/>
    </row>
    <row r="32" spans="2:9" x14ac:dyDescent="0.2">
      <c r="B32" s="229">
        <v>1</v>
      </c>
      <c r="C32" s="245" t="s">
        <v>228</v>
      </c>
      <c r="D32" s="226"/>
      <c r="E32" s="227"/>
      <c r="F32" s="226"/>
      <c r="G32" s="226"/>
      <c r="H32" s="226"/>
      <c r="I32" s="226"/>
    </row>
    <row r="33" spans="2:9" ht="13.5" thickBot="1" x14ac:dyDescent="0.25">
      <c r="B33" s="241"/>
      <c r="C33" s="231"/>
      <c r="D33" s="231"/>
      <c r="E33" s="232"/>
      <c r="F33" s="231"/>
      <c r="G33" s="231"/>
      <c r="H33" s="231"/>
      <c r="I33" s="231"/>
    </row>
    <row r="34" spans="2:9" ht="13.5" thickBot="1" x14ac:dyDescent="0.25"/>
    <row r="35" spans="2:9" x14ac:dyDescent="0.2">
      <c r="B35" s="234" t="s">
        <v>229</v>
      </c>
      <c r="C35" s="222"/>
      <c r="D35" s="222"/>
      <c r="E35" s="223"/>
      <c r="F35" s="222"/>
      <c r="G35" s="222"/>
      <c r="H35" s="222"/>
      <c r="I35" s="224"/>
    </row>
    <row r="36" spans="2:9" x14ac:dyDescent="0.2">
      <c r="B36" s="225"/>
      <c r="C36" s="226"/>
      <c r="D36" s="226"/>
      <c r="E36" s="227"/>
      <c r="F36" s="226"/>
      <c r="G36" s="226"/>
      <c r="H36" s="226"/>
      <c r="I36" s="228"/>
    </row>
    <row r="37" spans="2:9" x14ac:dyDescent="0.2">
      <c r="B37" s="229">
        <v>1</v>
      </c>
      <c r="C37" s="245" t="s">
        <v>230</v>
      </c>
      <c r="D37" s="226"/>
      <c r="E37" s="227"/>
      <c r="F37" s="226"/>
      <c r="G37" s="226"/>
      <c r="H37" s="226"/>
      <c r="I37" s="228"/>
    </row>
    <row r="38" spans="2:9" x14ac:dyDescent="0.2">
      <c r="B38" s="229"/>
      <c r="C38" s="245" t="s">
        <v>231</v>
      </c>
      <c r="D38" s="226"/>
      <c r="E38" s="227"/>
      <c r="F38" s="226"/>
      <c r="G38" s="226"/>
      <c r="H38" s="226"/>
      <c r="I38" s="228"/>
    </row>
    <row r="39" spans="2:9" ht="13.5" thickBot="1" x14ac:dyDescent="0.25">
      <c r="B39" s="225"/>
      <c r="C39" s="226"/>
      <c r="D39" s="226"/>
      <c r="E39" s="227"/>
      <c r="F39" s="226"/>
      <c r="G39" s="226"/>
      <c r="H39" s="226"/>
      <c r="I39" s="228"/>
    </row>
    <row r="40" spans="2:9" ht="21.75" customHeight="1" x14ac:dyDescent="0.2">
      <c r="B40" s="225"/>
      <c r="C40" s="218" t="s">
        <v>251</v>
      </c>
      <c r="D40" s="219" t="s">
        <v>223</v>
      </c>
      <c r="E40" s="220" t="s">
        <v>252</v>
      </c>
      <c r="F40" s="220" t="s">
        <v>223</v>
      </c>
      <c r="G40" s="226"/>
      <c r="H40" s="226"/>
      <c r="I40" s="228"/>
    </row>
    <row r="41" spans="2:9" x14ac:dyDescent="0.2">
      <c r="B41" s="225"/>
      <c r="C41" s="246"/>
      <c r="D41" s="246"/>
      <c r="E41" s="247"/>
      <c r="F41" s="335"/>
      <c r="G41" s="226"/>
      <c r="H41" s="226"/>
      <c r="I41" s="228"/>
    </row>
    <row r="42" spans="2:9" x14ac:dyDescent="0.2">
      <c r="B42" s="225"/>
      <c r="C42" s="345">
        <v>2151</v>
      </c>
      <c r="D42" s="344">
        <v>112073.9</v>
      </c>
      <c r="E42" s="341">
        <v>1211</v>
      </c>
      <c r="F42" s="342">
        <f t="shared" ref="F42:F48" si="0">D42</f>
        <v>112073.9</v>
      </c>
      <c r="G42" s="226"/>
      <c r="H42" s="226"/>
      <c r="I42" s="228"/>
    </row>
    <row r="43" spans="2:9" x14ac:dyDescent="0.2">
      <c r="B43" s="225"/>
      <c r="C43" s="345">
        <v>2711</v>
      </c>
      <c r="D43" s="344">
        <v>62000</v>
      </c>
      <c r="E43" s="341">
        <v>1211</v>
      </c>
      <c r="F43" s="342">
        <f t="shared" si="0"/>
        <v>62000</v>
      </c>
      <c r="G43" s="226"/>
      <c r="H43" s="226"/>
      <c r="I43" s="228"/>
    </row>
    <row r="44" spans="2:9" x14ac:dyDescent="0.2">
      <c r="B44" s="225"/>
      <c r="C44" s="345">
        <v>2941</v>
      </c>
      <c r="D44" s="344">
        <v>15000</v>
      </c>
      <c r="E44" s="341">
        <v>1211</v>
      </c>
      <c r="F44" s="342">
        <f t="shared" si="0"/>
        <v>15000</v>
      </c>
      <c r="G44" s="226"/>
      <c r="H44" s="226"/>
      <c r="I44" s="228"/>
    </row>
    <row r="45" spans="2:9" x14ac:dyDescent="0.2">
      <c r="B45" s="225"/>
      <c r="C45" s="345">
        <v>3331</v>
      </c>
      <c r="D45" s="344">
        <v>115080</v>
      </c>
      <c r="E45" s="341">
        <v>1211</v>
      </c>
      <c r="F45" s="342">
        <f t="shared" si="0"/>
        <v>115080</v>
      </c>
      <c r="G45" s="226"/>
      <c r="H45" s="226"/>
      <c r="I45" s="228"/>
    </row>
    <row r="46" spans="2:9" x14ac:dyDescent="0.2">
      <c r="B46" s="225"/>
      <c r="C46" s="345">
        <v>3391</v>
      </c>
      <c r="D46" s="344">
        <v>165000</v>
      </c>
      <c r="E46" s="341">
        <v>1211</v>
      </c>
      <c r="F46" s="342">
        <f t="shared" si="0"/>
        <v>165000</v>
      </c>
      <c r="G46" s="226"/>
      <c r="H46" s="226"/>
      <c r="I46" s="228"/>
    </row>
    <row r="47" spans="2:9" x14ac:dyDescent="0.2">
      <c r="B47" s="225"/>
      <c r="C47" s="345">
        <v>3411</v>
      </c>
      <c r="D47" s="344">
        <v>5000</v>
      </c>
      <c r="E47" s="341">
        <v>1211</v>
      </c>
      <c r="F47" s="342">
        <f t="shared" si="0"/>
        <v>5000</v>
      </c>
      <c r="G47" s="339">
        <f>SUM(F42:F48)</f>
        <v>520858.15</v>
      </c>
      <c r="H47" s="226"/>
      <c r="I47" s="228"/>
    </row>
    <row r="48" spans="2:9" x14ac:dyDescent="0.2">
      <c r="B48" s="225"/>
      <c r="C48" s="345">
        <v>3451</v>
      </c>
      <c r="D48" s="344">
        <v>46704.25</v>
      </c>
      <c r="E48" s="341">
        <v>1211</v>
      </c>
      <c r="F48" s="342">
        <f t="shared" si="0"/>
        <v>46704.25</v>
      </c>
      <c r="G48" s="226"/>
      <c r="H48" s="226"/>
      <c r="I48" s="228"/>
    </row>
    <row r="49" spans="2:10" x14ac:dyDescent="0.2">
      <c r="B49" s="225"/>
      <c r="C49" s="336">
        <v>3451</v>
      </c>
      <c r="D49" s="247">
        <v>21131.46</v>
      </c>
      <c r="E49" s="340">
        <v>1321</v>
      </c>
      <c r="F49" s="338">
        <v>21131.46</v>
      </c>
      <c r="G49" s="339"/>
      <c r="H49" s="226"/>
      <c r="I49" s="228"/>
    </row>
    <row r="50" spans="2:10" x14ac:dyDescent="0.2">
      <c r="B50" s="225"/>
      <c r="C50" s="345">
        <v>3451</v>
      </c>
      <c r="D50" s="344">
        <v>3766.83</v>
      </c>
      <c r="E50" s="341">
        <v>1322</v>
      </c>
      <c r="F50" s="342">
        <v>3766.83</v>
      </c>
      <c r="G50" s="226"/>
      <c r="H50" s="226"/>
      <c r="I50" s="228"/>
    </row>
    <row r="51" spans="2:10" ht="13.5" thickBot="1" x14ac:dyDescent="0.25">
      <c r="B51" s="241"/>
      <c r="C51" s="346">
        <v>3572</v>
      </c>
      <c r="D51" s="344">
        <v>30000</v>
      </c>
      <c r="E51" s="341">
        <v>1322</v>
      </c>
      <c r="F51" s="343">
        <v>30000</v>
      </c>
      <c r="G51" s="231"/>
      <c r="H51" s="231"/>
      <c r="I51" s="233"/>
    </row>
    <row r="52" spans="2:10" x14ac:dyDescent="0.2">
      <c r="C52" s="345">
        <v>3791</v>
      </c>
      <c r="D52" s="344">
        <v>40000</v>
      </c>
      <c r="E52" s="341">
        <v>1322</v>
      </c>
      <c r="F52" s="344">
        <v>40000</v>
      </c>
    </row>
    <row r="53" spans="2:10" x14ac:dyDescent="0.2">
      <c r="C53" s="345">
        <v>3822</v>
      </c>
      <c r="D53" s="344">
        <v>40000</v>
      </c>
      <c r="E53" s="341">
        <v>1322</v>
      </c>
      <c r="F53" s="344">
        <v>40000</v>
      </c>
      <c r="G53" s="120"/>
    </row>
    <row r="54" spans="2:10" x14ac:dyDescent="0.2">
      <c r="C54" s="345">
        <v>5151</v>
      </c>
      <c r="D54" s="344">
        <v>4452.28</v>
      </c>
      <c r="E54" s="341">
        <v>1322</v>
      </c>
      <c r="F54" s="344">
        <v>4452.28</v>
      </c>
      <c r="G54" s="120">
        <f>SUM(F50:F54)</f>
        <v>118219.11</v>
      </c>
    </row>
    <row r="55" spans="2:10" x14ac:dyDescent="0.2">
      <c r="C55" s="336">
        <v>5151</v>
      </c>
      <c r="D55" s="247">
        <v>14310.34</v>
      </c>
      <c r="E55" s="340">
        <v>1343</v>
      </c>
      <c r="F55" s="247">
        <v>14310.34</v>
      </c>
      <c r="G55" s="120"/>
    </row>
    <row r="56" spans="2:10" x14ac:dyDescent="0.2">
      <c r="C56" s="345">
        <v>5151</v>
      </c>
      <c r="D56" s="344">
        <v>11237.38</v>
      </c>
      <c r="E56" s="341">
        <v>1411</v>
      </c>
      <c r="F56" s="344">
        <v>11237.38</v>
      </c>
      <c r="G56" s="120"/>
    </row>
    <row r="57" spans="2:10" x14ac:dyDescent="0.2">
      <c r="C57" s="345">
        <v>5911</v>
      </c>
      <c r="D57" s="344">
        <v>80978.710000000006</v>
      </c>
      <c r="E57" s="341">
        <v>1411</v>
      </c>
      <c r="F57" s="344">
        <v>80978.710000000006</v>
      </c>
      <c r="G57" s="120"/>
      <c r="H57" s="120"/>
      <c r="I57" s="120"/>
    </row>
    <row r="58" spans="2:10" x14ac:dyDescent="0.2">
      <c r="C58" s="336">
        <v>5911</v>
      </c>
      <c r="D58" s="247">
        <v>1926.53</v>
      </c>
      <c r="E58" s="337">
        <v>1421</v>
      </c>
      <c r="F58" s="247">
        <v>1926.53</v>
      </c>
      <c r="H58" s="120"/>
    </row>
    <row r="59" spans="2:10" x14ac:dyDescent="0.2">
      <c r="C59" s="345">
        <v>5911</v>
      </c>
      <c r="D59" s="348">
        <v>6742.09</v>
      </c>
      <c r="E59" s="346">
        <v>1431</v>
      </c>
      <c r="F59" s="348">
        <v>6742.09</v>
      </c>
    </row>
    <row r="60" spans="2:10" x14ac:dyDescent="0.2">
      <c r="C60" s="336">
        <v>5911</v>
      </c>
      <c r="D60" s="347">
        <v>1284.45</v>
      </c>
      <c r="E60" s="337">
        <v>1432</v>
      </c>
      <c r="F60" s="247">
        <v>1284.45</v>
      </c>
      <c r="G60" s="120">
        <f>SUM(F59:F60)</f>
        <v>8026.54</v>
      </c>
    </row>
    <row r="61" spans="2:10" x14ac:dyDescent="0.2">
      <c r="C61" s="345">
        <v>5911</v>
      </c>
      <c r="D61" s="348">
        <v>9244.2199999999993</v>
      </c>
      <c r="E61" s="346">
        <v>1712</v>
      </c>
      <c r="F61" s="344">
        <v>9244.2199999999993</v>
      </c>
    </row>
    <row r="62" spans="2:10" x14ac:dyDescent="0.2">
      <c r="C62" s="336">
        <v>5911</v>
      </c>
      <c r="D62" s="347">
        <v>42000</v>
      </c>
      <c r="E62" s="337">
        <v>3171</v>
      </c>
      <c r="F62" s="247">
        <v>42000</v>
      </c>
    </row>
    <row r="63" spans="2:10" x14ac:dyDescent="0.2">
      <c r="C63" s="345">
        <v>5911</v>
      </c>
      <c r="D63" s="348">
        <v>60000</v>
      </c>
      <c r="E63" s="346">
        <v>3311</v>
      </c>
      <c r="F63" s="344">
        <v>60000</v>
      </c>
      <c r="G63" s="352"/>
      <c r="H63" s="352"/>
      <c r="I63" s="352"/>
      <c r="J63" s="353"/>
    </row>
    <row r="64" spans="2:10" x14ac:dyDescent="0.2">
      <c r="C64" s="336">
        <v>5911</v>
      </c>
      <c r="D64" s="347">
        <v>5000</v>
      </c>
      <c r="E64" s="337">
        <v>5611</v>
      </c>
      <c r="F64" s="354">
        <v>5000</v>
      </c>
      <c r="G64" s="352"/>
      <c r="H64" s="352"/>
      <c r="I64" s="352"/>
      <c r="J64" s="353"/>
    </row>
    <row r="65" spans="3:10" x14ac:dyDescent="0.2">
      <c r="C65" s="336">
        <v>2151</v>
      </c>
      <c r="D65" s="347">
        <v>10000</v>
      </c>
      <c r="E65" s="337">
        <v>5611</v>
      </c>
      <c r="F65" s="354">
        <v>10000</v>
      </c>
      <c r="G65" s="353"/>
      <c r="H65" s="353">
        <v>785932.44</v>
      </c>
      <c r="I65" s="352"/>
      <c r="J65" s="353"/>
    </row>
    <row r="66" spans="3:10" x14ac:dyDescent="0.2">
      <c r="C66" s="345">
        <v>5911</v>
      </c>
      <c r="D66" s="344">
        <v>0.1</v>
      </c>
      <c r="E66" s="346">
        <v>4419</v>
      </c>
      <c r="F66" s="356">
        <v>0.1</v>
      </c>
      <c r="G66" s="353">
        <v>199073.9</v>
      </c>
      <c r="H66" s="121"/>
      <c r="I66" s="352"/>
      <c r="J66" s="353"/>
    </row>
    <row r="67" spans="3:10" x14ac:dyDescent="0.2">
      <c r="D67" s="121"/>
      <c r="F67" s="349"/>
      <c r="G67" s="353">
        <v>466682.54</v>
      </c>
      <c r="H67" s="353">
        <v>102000</v>
      </c>
      <c r="I67" s="352"/>
      <c r="J67" s="353"/>
    </row>
    <row r="68" spans="3:10" x14ac:dyDescent="0.2">
      <c r="D68" s="121">
        <f>SUM(D42:D67)</f>
        <v>902932.5399999998</v>
      </c>
      <c r="F68" s="355">
        <f>SUM(F42:F67)</f>
        <v>902932.5399999998</v>
      </c>
      <c r="G68" s="353">
        <v>237176.1</v>
      </c>
      <c r="H68" s="353">
        <v>15000</v>
      </c>
      <c r="I68" s="352"/>
      <c r="J68" s="353"/>
    </row>
    <row r="69" spans="3:10" x14ac:dyDescent="0.2">
      <c r="D69" s="121"/>
      <c r="F69" s="349"/>
      <c r="G69" s="353"/>
      <c r="H69" s="353"/>
      <c r="I69" s="352"/>
      <c r="J69" s="353"/>
    </row>
    <row r="70" spans="3:10" x14ac:dyDescent="0.2">
      <c r="D70" s="121"/>
      <c r="F70" s="349"/>
      <c r="G70" s="353">
        <f>SUM(G66:G69)</f>
        <v>902932.53999999992</v>
      </c>
      <c r="H70" s="353">
        <f>SUM(H65:H68)</f>
        <v>902932.44</v>
      </c>
      <c r="I70" s="352"/>
      <c r="J70" s="353"/>
    </row>
    <row r="71" spans="3:10" x14ac:dyDescent="0.2">
      <c r="D71" s="121"/>
      <c r="F71" s="349"/>
      <c r="G71" s="352"/>
      <c r="H71" s="352"/>
      <c r="I71" s="352"/>
      <c r="J71" s="353"/>
    </row>
    <row r="72" spans="3:10" x14ac:dyDescent="0.2">
      <c r="D72" s="120"/>
      <c r="F72" s="349"/>
      <c r="G72" s="352"/>
      <c r="H72" s="352"/>
      <c r="I72" s="352"/>
      <c r="J72" s="353"/>
    </row>
    <row r="73" spans="3:10" x14ac:dyDescent="0.2">
      <c r="C73" s="336"/>
      <c r="D73" s="246"/>
      <c r="F73" s="349"/>
      <c r="G73" s="350"/>
      <c r="H73" s="350"/>
      <c r="I73" s="350"/>
      <c r="J73" s="351"/>
    </row>
    <row r="74" spans="3:10" x14ac:dyDescent="0.2">
      <c r="F74" s="349"/>
      <c r="G74" s="350"/>
      <c r="H74" s="350"/>
      <c r="I74" s="350"/>
      <c r="J74" s="351"/>
    </row>
    <row r="75" spans="3:10" x14ac:dyDescent="0.2">
      <c r="F75" s="349"/>
      <c r="G75" s="350"/>
      <c r="H75" s="350"/>
      <c r="I75" s="350"/>
      <c r="J75" s="351"/>
    </row>
    <row r="76" spans="3:10" x14ac:dyDescent="0.2">
      <c r="F76" s="349"/>
      <c r="G76" s="350"/>
      <c r="H76" s="350"/>
      <c r="I76" s="350"/>
      <c r="J76" s="351"/>
    </row>
  </sheetData>
  <pageMargins left="0.7" right="0.7" top="0.75" bottom="0.75" header="0.3" footer="0.3"/>
  <pageSetup scale="63" orientation="portrait" r:id="rId1"/>
  <rowBreaks count="1" manualBreakCount="1">
    <brk id="3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9"/>
  <sheetViews>
    <sheetView showGridLines="0" view="pageBreakPreview" topLeftCell="A67" zoomScale="70" zoomScaleNormal="80" zoomScaleSheetLayoutView="70" workbookViewId="0">
      <selection activeCell="D84" sqref="D84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9.42578125" style="75" customWidth="1"/>
    <col min="6" max="6" width="17.42578125" style="83" customWidth="1"/>
    <col min="7" max="7" width="20.5703125" style="97" bestFit="1" customWidth="1"/>
    <col min="8" max="8" width="18.85546875" style="91" customWidth="1"/>
    <col min="9" max="9" width="45.7109375" style="43" customWidth="1"/>
    <col min="10" max="10" width="20.7109375" style="2" customWidth="1"/>
    <col min="11" max="11" width="16.140625" style="2" customWidth="1"/>
    <col min="12" max="12" width="3.42578125" style="2" customWidth="1"/>
    <col min="13" max="13" width="18.28515625" style="2" customWidth="1"/>
    <col min="14" max="14" width="20.5703125" style="2" customWidth="1"/>
    <col min="15" max="15" width="11.42578125" style="2"/>
    <col min="16" max="16" width="13.42578125" style="2" bestFit="1" customWidth="1"/>
    <col min="17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265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">
        <v>261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9" t="s">
        <v>22</v>
      </c>
      <c r="N5" s="7"/>
      <c r="O5" s="7"/>
    </row>
    <row r="6" spans="1:15" ht="20.25" customHeight="1" x14ac:dyDescent="0.2">
      <c r="A6" s="11"/>
      <c r="B6" s="11"/>
      <c r="C6" s="494" t="s">
        <v>255</v>
      </c>
      <c r="D6" s="494"/>
      <c r="E6" s="494"/>
      <c r="F6" s="494"/>
      <c r="G6" s="494"/>
      <c r="H6" s="494"/>
      <c r="I6" s="423" t="s">
        <v>266</v>
      </c>
      <c r="N6" s="7"/>
      <c r="O6" s="7"/>
    </row>
    <row r="7" spans="1:15" ht="12.75" customHeight="1" x14ac:dyDescent="0.2">
      <c r="A7" s="11"/>
      <c r="B7" s="11"/>
      <c r="C7" s="494"/>
      <c r="D7" s="494"/>
      <c r="E7" s="494"/>
      <c r="F7" s="494"/>
      <c r="G7" s="494"/>
      <c r="H7" s="494"/>
      <c r="I7" s="9" t="s">
        <v>267</v>
      </c>
      <c r="N7" s="7"/>
      <c r="O7" s="7"/>
    </row>
    <row r="8" spans="1:15" ht="17.25" customHeight="1" x14ac:dyDescent="0.2">
      <c r="A8" s="11"/>
      <c r="B8" s="11"/>
      <c r="C8" s="494"/>
      <c r="D8" s="494"/>
      <c r="E8" s="494"/>
      <c r="F8" s="494"/>
      <c r="G8" s="494"/>
      <c r="H8" s="494"/>
      <c r="I8" s="423" t="s">
        <v>270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9" t="s">
        <v>268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342901.74</v>
      </c>
      <c r="E13" s="76">
        <v>171450.87</v>
      </c>
      <c r="F13" s="76">
        <v>171450.87</v>
      </c>
      <c r="G13" s="98"/>
      <c r="H13" s="92"/>
      <c r="I13" s="47"/>
      <c r="J13" s="472"/>
      <c r="K13" s="138">
        <f>A13</f>
        <v>1131</v>
      </c>
      <c r="M13" s="139">
        <f>H13+ALIMENTARIAS!H13+'INOVACION AGRICOLA'!H13+'SERVICIOS ESCOLARES'!H13+'DESARROLLO ACADEMICO'!H13+VINCULACIÓN!H13+PLANEACION!H13+CALIDAD!H13+'ADMON REC'!H13</f>
        <v>0</v>
      </c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  <c r="K14" s="138">
        <f t="shared" ref="K14:K77" si="1">A14</f>
        <v>1211</v>
      </c>
      <c r="M14" s="139">
        <f>H14+ALIMENTARIAS!H14+'INOVACION AGRICOLA'!H14+'SERVICIOS ESCOLARES'!H14+'DESARROLLO ACADEMICO'!H14+VINCULACIÓN!H14+PLANEACION!H14+CALIDAD!H14+'ADMON REC'!H14</f>
        <v>530858.15</v>
      </c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19965.419999999998</v>
      </c>
      <c r="E15" s="76">
        <v>9982.7099999999991</v>
      </c>
      <c r="F15" s="84">
        <v>9982.7099999999991</v>
      </c>
      <c r="G15" s="98"/>
      <c r="H15" s="92"/>
      <c r="I15" s="47"/>
      <c r="J15" s="472"/>
      <c r="K15" s="138">
        <f t="shared" si="1"/>
        <v>1311</v>
      </c>
      <c r="M15" s="139">
        <f>H15+ALIMENTARIAS!H15+'INOVACION AGRICOLA'!H15+'SERVICIOS ESCOLARES'!H15+'DESARROLLO ACADEMICO'!H15+VINCULACIÓN!H15+PLANEACION!H15+CALIDAD!H15+'ADMON REC'!H15</f>
        <v>0</v>
      </c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22860.12</v>
      </c>
      <c r="E16" s="76">
        <v>11430.06</v>
      </c>
      <c r="F16" s="84">
        <v>11430.06</v>
      </c>
      <c r="G16" s="98"/>
      <c r="H16" s="92"/>
      <c r="I16" s="47"/>
      <c r="J16" s="472"/>
      <c r="K16" s="138">
        <f t="shared" si="1"/>
        <v>1321</v>
      </c>
      <c r="M16" s="139">
        <f>H16+ALIMENTARIAS!H16+'INOVACION AGRICOLA'!H16+'SERVICIOS ESCOLARES'!H16+'DESARROLLO ACADEMICO'!H16+VINCULACIÓN!H16+PLANEACION!H16+CALIDAD!H16+'ADMON REC'!H16</f>
        <v>21131.46</v>
      </c>
    </row>
    <row r="17" spans="1:13" s="21" customFormat="1" x14ac:dyDescent="0.2">
      <c r="A17" s="53">
        <v>1322</v>
      </c>
      <c r="B17" s="19"/>
      <c r="C17" s="52" t="s">
        <v>32</v>
      </c>
      <c r="D17" s="61">
        <f t="shared" si="0"/>
        <v>47625.25</v>
      </c>
      <c r="E17" s="76">
        <f>19050.1+9525.05</f>
        <v>28575.149999999998</v>
      </c>
      <c r="F17" s="84">
        <v>19050.099999999999</v>
      </c>
      <c r="G17" s="98"/>
      <c r="H17" s="92"/>
      <c r="I17" s="47"/>
      <c r="J17" s="472"/>
      <c r="K17" s="138">
        <f t="shared" si="1"/>
        <v>1322</v>
      </c>
      <c r="M17" s="139">
        <f>H17+ALIMENTARIAS!H17+'INOVACION AGRICOLA'!H17+'SERVICIOS ESCOLARES'!H17+'DESARROLLO ACADEMICO'!H17+VINCULACIÓN!H17+PLANEACION!H17+CALIDAD!H17+'ADMON REC'!H17</f>
        <v>118219.11</v>
      </c>
    </row>
    <row r="18" spans="1:13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  <c r="K18" s="138">
        <f t="shared" si="1"/>
        <v>1343</v>
      </c>
      <c r="M18" s="139">
        <f>H18+ALIMENTARIAS!H18+'INOVACION AGRICOLA'!H18+'SERVICIOS ESCOLARES'!H18+'DESARROLLO ACADEMICO'!H18+VINCULACIÓN!H18+PLANEACION!H18+CALIDAD!H18+'ADMON REC'!H18</f>
        <v>14310.34</v>
      </c>
    </row>
    <row r="19" spans="1:13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  <c r="K19" s="138">
        <f t="shared" si="1"/>
        <v>1411</v>
      </c>
      <c r="M19" s="139">
        <f>H19+ALIMENTARIAS!H19+'INOVACION AGRICOLA'!H19+'SERVICIOS ESCOLARES'!H19+'DESARROLLO ACADEMICO'!H19+VINCULACIÓN!H19+PLANEACION!H19+CALIDAD!H19+'ADMON REC'!H19</f>
        <v>92216.09</v>
      </c>
    </row>
    <row r="20" spans="1:13" s="21" customFormat="1" x14ac:dyDescent="0.2">
      <c r="A20" s="53">
        <v>1421</v>
      </c>
      <c r="B20" s="19"/>
      <c r="C20" s="52" t="s">
        <v>35</v>
      </c>
      <c r="D20" s="61">
        <f t="shared" si="0"/>
        <v>10287.06</v>
      </c>
      <c r="E20" s="76">
        <v>5143.53</v>
      </c>
      <c r="F20" s="84">
        <v>5143.53</v>
      </c>
      <c r="G20" s="98"/>
      <c r="H20" s="92"/>
      <c r="I20" s="47"/>
      <c r="J20" s="472"/>
      <c r="K20" s="138">
        <f t="shared" si="1"/>
        <v>1421</v>
      </c>
      <c r="M20" s="139">
        <f>H20+ALIMENTARIAS!H20+'INOVACION AGRICOLA'!H20+'SERVICIOS ESCOLARES'!H20+'DESARROLLO ACADEMICO'!H20+VINCULACIÓN!H20+PLANEACION!H20+CALIDAD!H20+'ADMON REC'!H20</f>
        <v>1926.5299999999997</v>
      </c>
    </row>
    <row r="21" spans="1:13" s="21" customFormat="1" x14ac:dyDescent="0.2">
      <c r="A21" s="53">
        <v>1431</v>
      </c>
      <c r="B21" s="19"/>
      <c r="C21" s="52" t="s">
        <v>36</v>
      </c>
      <c r="D21" s="61">
        <f t="shared" si="0"/>
        <v>36004.68</v>
      </c>
      <c r="E21" s="76">
        <v>18002.34</v>
      </c>
      <c r="F21" s="84">
        <v>18002.34</v>
      </c>
      <c r="G21" s="98"/>
      <c r="H21" s="92"/>
      <c r="I21" s="47"/>
      <c r="J21" s="472"/>
      <c r="K21" s="138">
        <f t="shared" si="1"/>
        <v>1431</v>
      </c>
      <c r="M21" s="139">
        <f>H21+ALIMENTARIAS!H21+'INOVACION AGRICOLA'!H21+'SERVICIOS ESCOLARES'!H21+'DESARROLLO ACADEMICO'!H21+VINCULACIÓN!H21+PLANEACION!H21+CALIDAD!H21+'ADMON REC'!H21</f>
        <v>6742.09</v>
      </c>
    </row>
    <row r="22" spans="1:13" s="21" customFormat="1" ht="24" x14ac:dyDescent="0.2">
      <c r="A22" s="53">
        <v>1432</v>
      </c>
      <c r="B22" s="19"/>
      <c r="C22" s="52" t="s">
        <v>37</v>
      </c>
      <c r="D22" s="61">
        <f t="shared" si="0"/>
        <v>6858.04</v>
      </c>
      <c r="E22" s="76">
        <v>3429.02</v>
      </c>
      <c r="F22" s="84">
        <v>3429.02</v>
      </c>
      <c r="G22" s="98"/>
      <c r="H22" s="92"/>
      <c r="I22" s="47"/>
      <c r="J22" s="472"/>
      <c r="K22" s="138">
        <f t="shared" si="1"/>
        <v>1432</v>
      </c>
      <c r="M22" s="139">
        <f>H22+ALIMENTARIAS!H22+'INOVACION AGRICOLA'!H22+'SERVICIOS ESCOLARES'!H22+'DESARROLLO ACADEMICO'!H22+VINCULACIÓN!H22+PLANEACION!H22+CALIDAD!H22+'ADMON REC'!H22</f>
        <v>1284.4499999999998</v>
      </c>
    </row>
    <row r="23" spans="1:13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  <c r="K23" s="138">
        <f t="shared" si="1"/>
        <v>1543</v>
      </c>
      <c r="M23" s="139">
        <f>H23+ALIMENTARIAS!H23+'INOVACION AGRICOLA'!H23+'SERVICIOS ESCOLARES'!H23+'DESARROLLO ACADEMICO'!H23+VINCULACIÓN!H23+PLANEACION!H23+CALIDAD!H23+'ADMON REC'!H23</f>
        <v>72926.100000000006</v>
      </c>
    </row>
    <row r="24" spans="1:13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  <c r="K24" s="138">
        <f t="shared" si="1"/>
        <v>1611</v>
      </c>
      <c r="M24" s="139">
        <f>H24+ALIMENTARIAS!H24+'INOVACION AGRICOLA'!H24+'SERVICIOS ESCOLARES'!H24+'DESARROLLO ACADEMICO'!H24+VINCULACIÓN!H24+PLANEACION!H24+CALIDAD!H24+'ADMON REC'!H24</f>
        <v>0</v>
      </c>
    </row>
    <row r="25" spans="1:13" s="21" customFormat="1" x14ac:dyDescent="0.2">
      <c r="A25" s="53">
        <v>1715</v>
      </c>
      <c r="B25" s="19"/>
      <c r="C25" s="52" t="s">
        <v>39</v>
      </c>
      <c r="D25" s="61">
        <f t="shared" si="0"/>
        <v>14287.57</v>
      </c>
      <c r="E25" s="76">
        <v>14287.57</v>
      </c>
      <c r="F25" s="84"/>
      <c r="G25" s="98"/>
      <c r="H25" s="92"/>
      <c r="I25" s="47"/>
      <c r="J25" s="472"/>
      <c r="K25" s="138">
        <f t="shared" si="1"/>
        <v>1715</v>
      </c>
      <c r="M25" s="139">
        <f>H25+ALIMENTARIAS!H25+'INOVACION AGRICOLA'!H25+'SERVICIOS ESCOLARES'!H25+'DESARROLLO ACADEMICO'!H25+VINCULACIÓN!H25+PLANEACION!H25+CALIDAD!H25+'ADMON REC'!H25</f>
        <v>0</v>
      </c>
    </row>
    <row r="26" spans="1:13" s="21" customFormat="1" x14ac:dyDescent="0.2">
      <c r="A26" s="53">
        <v>1719</v>
      </c>
      <c r="B26" s="19"/>
      <c r="C26" s="52" t="s">
        <v>40</v>
      </c>
      <c r="D26" s="61">
        <f t="shared" si="0"/>
        <v>0</v>
      </c>
      <c r="E26" s="76"/>
      <c r="F26" s="84"/>
      <c r="G26" s="98"/>
      <c r="H26" s="92"/>
      <c r="I26" s="47"/>
      <c r="J26" s="472"/>
      <c r="K26" s="138">
        <f t="shared" si="1"/>
        <v>1719</v>
      </c>
      <c r="M26" s="139">
        <f>H26+ALIMENTARIAS!H26+'INOVACION AGRICOLA'!H26+'SERVICIOS ESCOLARES'!H26+'DESARROLLO ACADEMICO'!H26+VINCULACIÓN!H26+PLANEACION!H26+CALIDAD!H26+'ADMON REC'!H26</f>
        <v>0</v>
      </c>
    </row>
    <row r="27" spans="1:13" s="21" customFormat="1" x14ac:dyDescent="0.2">
      <c r="A27" s="53">
        <v>1712</v>
      </c>
      <c r="B27" s="19"/>
      <c r="C27" s="52" t="s">
        <v>41</v>
      </c>
      <c r="D27" s="61">
        <f t="shared" si="0"/>
        <v>14904</v>
      </c>
      <c r="E27" s="76">
        <v>7452</v>
      </c>
      <c r="F27" s="84">
        <v>7452</v>
      </c>
      <c r="G27" s="98"/>
      <c r="H27" s="92"/>
      <c r="I27" s="47"/>
      <c r="J27" s="472"/>
      <c r="K27" s="138">
        <f t="shared" si="1"/>
        <v>1712</v>
      </c>
      <c r="M27" s="139">
        <f>H27+ALIMENTARIAS!H27+'INOVACION AGRICOLA'!H27+'SERVICIOS ESCOLARES'!H27+'DESARROLLO ACADEMICO'!H27+VINCULACIÓN!H27+PLANEACION!H27+CALIDAD!H27+'ADMON REC'!H27</f>
        <v>9244.2199999999993</v>
      </c>
    </row>
    <row r="28" spans="1:13" s="11" customFormat="1" ht="25.5" x14ac:dyDescent="0.2">
      <c r="A28" s="22"/>
      <c r="B28" s="22"/>
      <c r="C28" s="62" t="s">
        <v>16</v>
      </c>
      <c r="D28" s="65">
        <f t="shared" ref="D28:H28" si="2">SUM(D13:D27)</f>
        <v>515693.87999999995</v>
      </c>
      <c r="E28" s="65">
        <f t="shared" si="2"/>
        <v>269753.24999999994</v>
      </c>
      <c r="F28" s="65">
        <f t="shared" si="2"/>
        <v>245940.62999999998</v>
      </c>
      <c r="G28" s="65">
        <f t="shared" si="2"/>
        <v>0</v>
      </c>
      <c r="H28" s="65">
        <f t="shared" si="2"/>
        <v>0</v>
      </c>
      <c r="I28" s="25"/>
      <c r="J28" s="26"/>
      <c r="K28" s="138">
        <f t="shared" si="1"/>
        <v>0</v>
      </c>
      <c r="L28" s="46"/>
      <c r="M28" s="141">
        <f>H28+ALIMENTARIAS!H28+'INOVACION AGRICOLA'!H28+'SERVICIOS ESCOLARES'!H28+'DESARROLLO ACADEMICO'!H28+VINCULACIÓN!H28+PLANEACION!H28+CALIDAD!H28+'ADMON REC'!H28</f>
        <v>868858.5399999998</v>
      </c>
    </row>
    <row r="29" spans="1:13" s="21" customFormat="1" ht="24" x14ac:dyDescent="0.2">
      <c r="A29" s="54">
        <v>2111</v>
      </c>
      <c r="B29" s="64"/>
      <c r="C29" s="49" t="s">
        <v>42</v>
      </c>
      <c r="D29" s="61">
        <f t="shared" ref="D29:D63" si="3">SUM(E29:H29)</f>
        <v>3000</v>
      </c>
      <c r="E29" s="76">
        <f>3000</f>
        <v>3000</v>
      </c>
      <c r="F29" s="84"/>
      <c r="G29" s="98"/>
      <c r="H29" s="92"/>
      <c r="I29" s="30"/>
      <c r="K29" s="138">
        <f t="shared" si="1"/>
        <v>2111</v>
      </c>
      <c r="M29" s="139">
        <f>H29+ALIMENTARIAS!H29+'INOVACION AGRICOLA'!H29+'SERVICIOS ESCOLARES'!H29+'DESARROLLO ACADEMICO'!H29+VINCULACIÓN!H29+PLANEACION!H29+CALIDAD!H29+'ADMON REC'!H29</f>
        <v>20000</v>
      </c>
    </row>
    <row r="30" spans="1:13" s="21" customFormat="1" ht="24" x14ac:dyDescent="0.2">
      <c r="A30" s="54">
        <v>2121</v>
      </c>
      <c r="B30" s="64"/>
      <c r="C30" s="49" t="s">
        <v>123</v>
      </c>
      <c r="D30" s="61">
        <f t="shared" si="3"/>
        <v>0</v>
      </c>
      <c r="E30" s="147"/>
      <c r="F30" s="84"/>
      <c r="G30" s="98"/>
      <c r="H30" s="148"/>
      <c r="I30" s="30"/>
      <c r="K30" s="138">
        <f t="shared" si="1"/>
        <v>2121</v>
      </c>
      <c r="M30" s="139">
        <f>H30+ALIMENTARIAS!H30+'INOVACION AGRICOLA'!H30+'SERVICIOS ESCOLARES'!H30+'DESARROLLO ACADEMICO'!H30+VINCULACIÓN!H30+PLANEACION!H30+CALIDAD!H30+'ADMON REC'!H30</f>
        <v>0</v>
      </c>
    </row>
    <row r="31" spans="1:13" s="21" customFormat="1" ht="36" x14ac:dyDescent="0.2">
      <c r="A31" s="54">
        <v>2141</v>
      </c>
      <c r="B31" s="64"/>
      <c r="C31" s="49" t="s">
        <v>43</v>
      </c>
      <c r="D31" s="61">
        <f t="shared" si="3"/>
        <v>0</v>
      </c>
      <c r="E31" s="147"/>
      <c r="F31" s="149"/>
      <c r="G31" s="150"/>
      <c r="H31" s="151"/>
      <c r="I31" s="30"/>
      <c r="K31" s="138">
        <f t="shared" si="1"/>
        <v>2141</v>
      </c>
      <c r="M31" s="139">
        <f>H31+ALIMENTARIAS!H31+'INOVACION AGRICOLA'!H31+'SERVICIOS ESCOLARES'!H31+'DESARROLLO ACADEMICO'!H31+VINCULACIÓN!H31+PLANEACION!H31+CALIDAD!H31+'ADMON REC'!H31</f>
        <v>28000</v>
      </c>
    </row>
    <row r="32" spans="1:13" s="21" customFormat="1" ht="14.25" x14ac:dyDescent="0.2">
      <c r="A32" s="54">
        <v>2151</v>
      </c>
      <c r="B32" s="64"/>
      <c r="C32" s="49" t="s">
        <v>44</v>
      </c>
      <c r="D32" s="61">
        <f t="shared" si="3"/>
        <v>0</v>
      </c>
      <c r="E32" s="147"/>
      <c r="F32" s="84"/>
      <c r="G32" s="150"/>
      <c r="H32" s="152"/>
      <c r="I32" s="30"/>
      <c r="K32" s="138">
        <f t="shared" si="1"/>
        <v>2151</v>
      </c>
      <c r="M32" s="139">
        <f>H32+ALIMENTARIAS!H32+'INOVACION AGRICOLA'!H32+'SERVICIOS ESCOLARES'!H32+'DESARROLLO ACADEMICO'!H32+VINCULACIÓN!H32+PLANEACION!H32+CALIDAD!H32+'ADMON REC'!H32</f>
        <v>409011.25999999995</v>
      </c>
    </row>
    <row r="33" spans="1:13" s="21" customFormat="1" ht="14.25" x14ac:dyDescent="0.2">
      <c r="A33" s="54">
        <v>2161</v>
      </c>
      <c r="B33" s="64"/>
      <c r="C33" s="49" t="s">
        <v>45</v>
      </c>
      <c r="D33" s="61">
        <f t="shared" si="3"/>
        <v>0</v>
      </c>
      <c r="E33" s="147"/>
      <c r="F33" s="84"/>
      <c r="G33" s="150"/>
      <c r="H33" s="92"/>
      <c r="I33" s="30"/>
      <c r="K33" s="138">
        <f t="shared" si="1"/>
        <v>2161</v>
      </c>
      <c r="M33" s="139">
        <f>H33+ALIMENTARIAS!H33+'INOVACION AGRICOLA'!H33+'SERVICIOS ESCOLARES'!H33+'DESARROLLO ACADEMICO'!H33+VINCULACIÓN!H33+PLANEACION!H33+CALIDAD!H33+'ADMON REC'!H33</f>
        <v>0</v>
      </c>
    </row>
    <row r="34" spans="1:13" s="21" customFormat="1" ht="14.25" x14ac:dyDescent="0.2">
      <c r="A34" s="54">
        <v>2171</v>
      </c>
      <c r="B34" s="64"/>
      <c r="C34" s="49" t="s">
        <v>46</v>
      </c>
      <c r="D34" s="61">
        <f t="shared" si="3"/>
        <v>0</v>
      </c>
      <c r="E34" s="147"/>
      <c r="F34" s="84"/>
      <c r="G34" s="98"/>
      <c r="H34" s="92"/>
      <c r="I34" s="30"/>
      <c r="K34" s="138">
        <f t="shared" si="1"/>
        <v>2171</v>
      </c>
      <c r="M34" s="139">
        <f>H34+ALIMENTARIAS!H34+'INOVACION AGRICOLA'!H34+'SERVICIOS ESCOLARES'!H34+'DESARROLLO ACADEMICO'!H34+VINCULACIÓN!H34+PLANEACION!H34+CALIDAD!H34+'ADMON REC'!H34</f>
        <v>0</v>
      </c>
    </row>
    <row r="35" spans="1:13" s="21" customFormat="1" ht="24" x14ac:dyDescent="0.2">
      <c r="A35" s="54">
        <v>2211</v>
      </c>
      <c r="B35" s="64"/>
      <c r="C35" s="49" t="s">
        <v>47</v>
      </c>
      <c r="D35" s="61">
        <f t="shared" si="3"/>
        <v>0</v>
      </c>
      <c r="E35" s="147"/>
      <c r="F35" s="149"/>
      <c r="G35" s="150"/>
      <c r="H35" s="151"/>
      <c r="I35" s="30"/>
      <c r="K35" s="138">
        <f t="shared" si="1"/>
        <v>2211</v>
      </c>
      <c r="M35" s="139">
        <f>H35+ALIMENTARIAS!H35+'INOVACION AGRICOLA'!H35+'SERVICIOS ESCOLARES'!H35+'DESARROLLO ACADEMICO'!H35+VINCULACIÓN!H35+PLANEACION!H35+CALIDAD!H35+'ADMON REC'!H35</f>
        <v>10000</v>
      </c>
    </row>
    <row r="36" spans="1:13" s="21" customFormat="1" ht="14.25" x14ac:dyDescent="0.2">
      <c r="A36" s="54">
        <v>2221</v>
      </c>
      <c r="B36" s="64"/>
      <c r="C36" s="49" t="s">
        <v>48</v>
      </c>
      <c r="D36" s="61">
        <f t="shared" si="3"/>
        <v>0</v>
      </c>
      <c r="E36" s="147"/>
      <c r="F36" s="84"/>
      <c r="G36" s="98"/>
      <c r="H36" s="92"/>
      <c r="I36" s="30"/>
      <c r="K36" s="138">
        <f t="shared" si="1"/>
        <v>2221</v>
      </c>
      <c r="M36" s="139">
        <f>H36+ALIMENTARIAS!H36+'INOVACION AGRICOLA'!H36+'SERVICIOS ESCOLARES'!H36+'DESARROLLO ACADEMICO'!H36+VINCULACIÓN!H36+PLANEACION!H36+CALIDAD!H36+'ADMON REC'!H36</f>
        <v>2000</v>
      </c>
    </row>
    <row r="37" spans="1:13" s="21" customFormat="1" ht="14.25" x14ac:dyDescent="0.2">
      <c r="A37" s="54">
        <v>2231</v>
      </c>
      <c r="B37" s="64"/>
      <c r="C37" s="49" t="s">
        <v>49</v>
      </c>
      <c r="D37" s="61">
        <f t="shared" si="3"/>
        <v>0</v>
      </c>
      <c r="E37" s="147"/>
      <c r="F37" s="84"/>
      <c r="G37" s="98"/>
      <c r="H37" s="92"/>
      <c r="I37" s="30"/>
      <c r="K37" s="138">
        <f t="shared" si="1"/>
        <v>2231</v>
      </c>
      <c r="M37" s="139">
        <f>H37+ALIMENTARIAS!H37+'INOVACION AGRICOLA'!H37+'SERVICIOS ESCOLARES'!H37+'DESARROLLO ACADEMICO'!H37+VINCULACIÓN!H37+PLANEACION!H37+CALIDAD!H37+'ADMON REC'!H37</f>
        <v>5000</v>
      </c>
    </row>
    <row r="38" spans="1:13" s="21" customFormat="1" ht="14.25" x14ac:dyDescent="0.2">
      <c r="A38" s="54">
        <v>2411</v>
      </c>
      <c r="B38" s="64"/>
      <c r="C38" s="49" t="s">
        <v>50</v>
      </c>
      <c r="D38" s="61">
        <f t="shared" si="3"/>
        <v>0</v>
      </c>
      <c r="E38" s="147"/>
      <c r="F38" s="84"/>
      <c r="G38" s="98"/>
      <c r="H38" s="92"/>
      <c r="I38" s="30"/>
      <c r="K38" s="138">
        <f t="shared" si="1"/>
        <v>2411</v>
      </c>
      <c r="M38" s="139">
        <f>H38+ALIMENTARIAS!H38+'INOVACION AGRICOLA'!H38+'SERVICIOS ESCOLARES'!H38+'DESARROLLO ACADEMICO'!H38+VINCULACIÓN!H38+PLANEACION!H38+CALIDAD!H38+'ADMON REC'!H38</f>
        <v>0</v>
      </c>
    </row>
    <row r="39" spans="1:13" s="21" customFormat="1" ht="14.25" x14ac:dyDescent="0.2">
      <c r="A39" s="54">
        <v>2421</v>
      </c>
      <c r="B39" s="64"/>
      <c r="C39" s="49" t="s">
        <v>51</v>
      </c>
      <c r="D39" s="61">
        <f t="shared" si="3"/>
        <v>0</v>
      </c>
      <c r="E39" s="147"/>
      <c r="F39" s="84"/>
      <c r="G39" s="98"/>
      <c r="H39" s="92"/>
      <c r="I39" s="30"/>
      <c r="K39" s="138">
        <f t="shared" si="1"/>
        <v>2421</v>
      </c>
      <c r="M39" s="139">
        <f>H39+ALIMENTARIAS!H39+'INOVACION AGRICOLA'!H39+'SERVICIOS ESCOLARES'!H39+'DESARROLLO ACADEMICO'!H39+VINCULACIÓN!H39+PLANEACION!H39+CALIDAD!H39+'ADMON REC'!H39</f>
        <v>0</v>
      </c>
    </row>
    <row r="40" spans="1:13" s="21" customFormat="1" ht="14.25" x14ac:dyDescent="0.2">
      <c r="A40" s="54">
        <v>2431</v>
      </c>
      <c r="B40" s="64"/>
      <c r="C40" s="49" t="s">
        <v>52</v>
      </c>
      <c r="D40" s="61">
        <f t="shared" si="3"/>
        <v>0</v>
      </c>
      <c r="E40" s="147"/>
      <c r="F40" s="84"/>
      <c r="G40" s="98"/>
      <c r="H40" s="92"/>
      <c r="I40" s="30"/>
      <c r="K40" s="138">
        <f t="shared" si="1"/>
        <v>2431</v>
      </c>
      <c r="M40" s="139">
        <f>H40+ALIMENTARIAS!H40+'INOVACION AGRICOLA'!H40+'SERVICIOS ESCOLARES'!H40+'DESARROLLO ACADEMICO'!H40+VINCULACIÓN!H40+PLANEACION!H40+CALIDAD!H40+'ADMON REC'!H40</f>
        <v>0</v>
      </c>
    </row>
    <row r="41" spans="1:13" s="21" customFormat="1" ht="14.25" x14ac:dyDescent="0.2">
      <c r="A41" s="54">
        <v>2441</v>
      </c>
      <c r="B41" s="64"/>
      <c r="C41" s="49" t="s">
        <v>53</v>
      </c>
      <c r="D41" s="61">
        <f t="shared" si="3"/>
        <v>0</v>
      </c>
      <c r="E41" s="147"/>
      <c r="F41" s="84"/>
      <c r="G41" s="98"/>
      <c r="H41" s="92"/>
      <c r="I41" s="30"/>
      <c r="K41" s="138">
        <f t="shared" si="1"/>
        <v>2441</v>
      </c>
      <c r="M41" s="139">
        <f>H41+ALIMENTARIAS!H41+'INOVACION AGRICOLA'!H41+'SERVICIOS ESCOLARES'!H41+'DESARROLLO ACADEMICO'!H41+VINCULACIÓN!H41+PLANEACION!H41+CALIDAD!H41+'ADMON REC'!H41</f>
        <v>0</v>
      </c>
    </row>
    <row r="42" spans="1:13" s="21" customFormat="1" ht="14.25" x14ac:dyDescent="0.2">
      <c r="A42" s="54">
        <v>2451</v>
      </c>
      <c r="B42" s="64"/>
      <c r="C42" s="49" t="s">
        <v>54</v>
      </c>
      <c r="D42" s="61">
        <f t="shared" si="3"/>
        <v>0</v>
      </c>
      <c r="E42" s="147"/>
      <c r="F42" s="84"/>
      <c r="G42" s="98"/>
      <c r="H42" s="92"/>
      <c r="I42" s="30"/>
      <c r="K42" s="138">
        <f t="shared" si="1"/>
        <v>2451</v>
      </c>
      <c r="M42" s="139">
        <f>H42+ALIMENTARIAS!H42+'INOVACION AGRICOLA'!H42+'SERVICIOS ESCOLARES'!H42+'DESARROLLO ACADEMICO'!H42+VINCULACIÓN!H42+PLANEACION!H42+CALIDAD!H42+'ADMON REC'!H42</f>
        <v>0</v>
      </c>
    </row>
    <row r="43" spans="1:13" s="21" customFormat="1" ht="14.25" x14ac:dyDescent="0.2">
      <c r="A43" s="54">
        <v>2461</v>
      </c>
      <c r="B43" s="64"/>
      <c r="C43" s="49" t="s">
        <v>55</v>
      </c>
      <c r="D43" s="61">
        <f t="shared" si="3"/>
        <v>10000</v>
      </c>
      <c r="E43" s="147">
        <v>5000</v>
      </c>
      <c r="F43" s="84">
        <v>5000</v>
      </c>
      <c r="G43" s="98"/>
      <c r="H43" s="92"/>
      <c r="I43" s="30"/>
      <c r="K43" s="138">
        <f t="shared" si="1"/>
        <v>2461</v>
      </c>
      <c r="M43" s="139">
        <f>H43+ALIMENTARIAS!H43+'INOVACION AGRICOLA'!H43+'SERVICIOS ESCOLARES'!H43+'DESARROLLO ACADEMICO'!H43+VINCULACIÓN!H43+PLANEACION!H43+CALIDAD!H43+'ADMON REC'!H43</f>
        <v>0</v>
      </c>
    </row>
    <row r="44" spans="1:13" s="21" customFormat="1" ht="14.25" x14ac:dyDescent="0.2">
      <c r="A44" s="55">
        <v>2471</v>
      </c>
      <c r="B44" s="31"/>
      <c r="C44" s="49" t="s">
        <v>56</v>
      </c>
      <c r="D44" s="61">
        <f t="shared" si="3"/>
        <v>11000</v>
      </c>
      <c r="E44" s="147">
        <v>3000</v>
      </c>
      <c r="F44" s="84">
        <v>3000</v>
      </c>
      <c r="G44" s="98"/>
      <c r="H44" s="92">
        <v>5000</v>
      </c>
      <c r="I44" s="30"/>
      <c r="K44" s="138">
        <f t="shared" si="1"/>
        <v>2471</v>
      </c>
      <c r="M44" s="139">
        <f>H44+ALIMENTARIAS!H44+'INOVACION AGRICOLA'!H44+'SERVICIOS ESCOLARES'!H44+'DESARROLLO ACADEMICO'!H44+VINCULACIÓN!H44+PLANEACION!H44+CALIDAD!H44+'ADMON REC'!H44</f>
        <v>20000</v>
      </c>
    </row>
    <row r="45" spans="1:13" s="21" customFormat="1" ht="14.25" x14ac:dyDescent="0.2">
      <c r="A45" s="55">
        <v>2481</v>
      </c>
      <c r="B45" s="31"/>
      <c r="C45" s="49" t="s">
        <v>57</v>
      </c>
      <c r="D45" s="61">
        <f t="shared" si="3"/>
        <v>0</v>
      </c>
      <c r="E45" s="147"/>
      <c r="F45" s="149"/>
      <c r="G45" s="98"/>
      <c r="H45" s="92"/>
      <c r="I45" s="30"/>
      <c r="K45" s="138">
        <f t="shared" si="1"/>
        <v>2481</v>
      </c>
      <c r="M45" s="139">
        <f>H45+ALIMENTARIAS!H45+'INOVACION AGRICOLA'!H45+'SERVICIOS ESCOLARES'!H45+'DESARROLLO ACADEMICO'!H45+VINCULACIÓN!H45+PLANEACION!H45+CALIDAD!H45+'ADMON REC'!H45</f>
        <v>0</v>
      </c>
    </row>
    <row r="46" spans="1:13" s="21" customFormat="1" ht="24" x14ac:dyDescent="0.2">
      <c r="A46" s="54">
        <v>2491</v>
      </c>
      <c r="B46" s="64"/>
      <c r="C46" s="49" t="s">
        <v>58</v>
      </c>
      <c r="D46" s="61">
        <f t="shared" si="3"/>
        <v>0</v>
      </c>
      <c r="E46" s="147"/>
      <c r="F46" s="149"/>
      <c r="G46" s="150"/>
      <c r="H46" s="151"/>
      <c r="I46" s="30"/>
      <c r="K46" s="138">
        <f t="shared" si="1"/>
        <v>2491</v>
      </c>
      <c r="M46" s="139">
        <f>H46+ALIMENTARIAS!H46+'INOVACION AGRICOLA'!H46+'SERVICIOS ESCOLARES'!H46+'DESARROLLO ACADEMICO'!H46+VINCULACIÓN!H46+PLANEACION!H46+CALIDAD!H46+'ADMON REC'!H46</f>
        <v>0</v>
      </c>
    </row>
    <row r="47" spans="1:13" s="21" customFormat="1" ht="14.25" x14ac:dyDescent="0.2">
      <c r="A47" s="54">
        <v>2511</v>
      </c>
      <c r="B47" s="64"/>
      <c r="C47" s="49" t="s">
        <v>59</v>
      </c>
      <c r="D47" s="61">
        <f t="shared" si="3"/>
        <v>0</v>
      </c>
      <c r="E47" s="147"/>
      <c r="F47" s="84"/>
      <c r="G47" s="150"/>
      <c r="H47" s="92"/>
      <c r="I47" s="30"/>
      <c r="K47" s="138">
        <f t="shared" si="1"/>
        <v>2511</v>
      </c>
      <c r="M47" s="139">
        <f>H47+ALIMENTARIAS!H47+'INOVACION AGRICOLA'!H47+'SERVICIOS ESCOLARES'!H47+'DESARROLLO ACADEMICO'!H47+VINCULACIÓN!H47+PLANEACION!H47+CALIDAD!H47+'ADMON REC'!H47</f>
        <v>0</v>
      </c>
    </row>
    <row r="48" spans="1:13" s="21" customFormat="1" ht="14.25" x14ac:dyDescent="0.2">
      <c r="A48" s="54">
        <v>2521</v>
      </c>
      <c r="B48" s="64"/>
      <c r="C48" s="49" t="s">
        <v>60</v>
      </c>
      <c r="D48" s="61">
        <f t="shared" si="3"/>
        <v>0</v>
      </c>
      <c r="E48" s="147"/>
      <c r="F48" s="149"/>
      <c r="G48" s="150"/>
      <c r="H48" s="151"/>
      <c r="I48" s="30"/>
      <c r="K48" s="138">
        <f t="shared" si="1"/>
        <v>2521</v>
      </c>
      <c r="M48" s="139">
        <f>H48+ALIMENTARIAS!H48+'INOVACION AGRICOLA'!H48+'SERVICIOS ESCOLARES'!H48+'DESARROLLO ACADEMICO'!H48+VINCULACIÓN!H48+PLANEACION!H48+CALIDAD!H48+'ADMON REC'!H48</f>
        <v>0</v>
      </c>
    </row>
    <row r="49" spans="1:13" s="21" customFormat="1" ht="14.25" x14ac:dyDescent="0.2">
      <c r="A49" s="54">
        <v>2531</v>
      </c>
      <c r="B49" s="64"/>
      <c r="C49" s="49" t="s">
        <v>61</v>
      </c>
      <c r="D49" s="61">
        <f t="shared" si="3"/>
        <v>0</v>
      </c>
      <c r="E49" s="147"/>
      <c r="F49" s="84"/>
      <c r="G49" s="98"/>
      <c r="H49" s="92"/>
      <c r="I49" s="30"/>
      <c r="K49" s="138">
        <f t="shared" si="1"/>
        <v>2531</v>
      </c>
      <c r="M49" s="139">
        <f>H49+ALIMENTARIAS!H49+'INOVACION AGRICOLA'!H49+'SERVICIOS ESCOLARES'!H49+'DESARROLLO ACADEMICO'!H49+VINCULACIÓN!H49+PLANEACION!H49+CALIDAD!H49+'ADMON REC'!H49</f>
        <v>0</v>
      </c>
    </row>
    <row r="50" spans="1:13" s="21" customFormat="1" ht="24" x14ac:dyDescent="0.2">
      <c r="A50" s="54">
        <v>2541</v>
      </c>
      <c r="B50" s="64"/>
      <c r="C50" s="49" t="s">
        <v>62</v>
      </c>
      <c r="D50" s="61">
        <f t="shared" si="3"/>
        <v>0</v>
      </c>
      <c r="E50" s="147"/>
      <c r="F50" s="84"/>
      <c r="G50" s="98"/>
      <c r="H50" s="92"/>
      <c r="I50" s="30"/>
      <c r="K50" s="138">
        <f t="shared" si="1"/>
        <v>2541</v>
      </c>
      <c r="M50" s="139">
        <f>H50+ALIMENTARIAS!H50+'INOVACION AGRICOLA'!H50+'SERVICIOS ESCOLARES'!H50+'DESARROLLO ACADEMICO'!H50+VINCULACIÓN!H50+PLANEACION!H50+CALIDAD!H50+'ADMON REC'!H50</f>
        <v>0</v>
      </c>
    </row>
    <row r="51" spans="1:13" s="21" customFormat="1" ht="24" x14ac:dyDescent="0.2">
      <c r="A51" s="54">
        <v>2551</v>
      </c>
      <c r="B51" s="64"/>
      <c r="C51" s="49" t="s">
        <v>63</v>
      </c>
      <c r="D51" s="61">
        <f t="shared" si="3"/>
        <v>4000</v>
      </c>
      <c r="E51" s="147"/>
      <c r="F51" s="149"/>
      <c r="G51" s="98"/>
      <c r="H51" s="92">
        <v>4000</v>
      </c>
      <c r="I51" s="30"/>
      <c r="K51" s="138">
        <f t="shared" si="1"/>
        <v>2551</v>
      </c>
      <c r="M51" s="139">
        <f>H51+ALIMENTARIAS!H51+'INOVACION AGRICOLA'!H51+'SERVICIOS ESCOLARES'!H51+'DESARROLLO ACADEMICO'!H51+VINCULACIÓN!H51+PLANEACION!H51+CALIDAD!H51+'ADMON REC'!H51</f>
        <v>20000</v>
      </c>
    </row>
    <row r="52" spans="1:13" s="21" customFormat="1" ht="14.25" x14ac:dyDescent="0.2">
      <c r="A52" s="54">
        <v>2561</v>
      </c>
      <c r="B52" s="64"/>
      <c r="C52" s="49" t="s">
        <v>64</v>
      </c>
      <c r="D52" s="61">
        <f t="shared" si="3"/>
        <v>2000</v>
      </c>
      <c r="E52" s="147">
        <v>1000</v>
      </c>
      <c r="F52" s="84">
        <v>1000</v>
      </c>
      <c r="G52" s="98"/>
      <c r="H52" s="92"/>
      <c r="I52" s="30"/>
      <c r="K52" s="138">
        <f t="shared" si="1"/>
        <v>2561</v>
      </c>
      <c r="M52" s="139">
        <f>H52+ALIMENTARIAS!H52+'INOVACION AGRICOLA'!H52+'SERVICIOS ESCOLARES'!H52+'DESARROLLO ACADEMICO'!H52+VINCULACIÓN!H52+PLANEACION!H52+CALIDAD!H52+'ADMON REC'!H52</f>
        <v>20000</v>
      </c>
    </row>
    <row r="53" spans="1:13" s="21" customFormat="1" ht="14.25" x14ac:dyDescent="0.2">
      <c r="A53" s="54">
        <v>2591</v>
      </c>
      <c r="B53" s="64"/>
      <c r="C53" s="49" t="s">
        <v>65</v>
      </c>
      <c r="D53" s="61">
        <f t="shared" si="3"/>
        <v>0</v>
      </c>
      <c r="E53" s="147"/>
      <c r="F53" s="84"/>
      <c r="G53" s="98"/>
      <c r="H53" s="92"/>
      <c r="I53" s="30"/>
      <c r="K53" s="138">
        <f t="shared" si="1"/>
        <v>2591</v>
      </c>
      <c r="M53" s="139">
        <f>H53+ALIMENTARIAS!H53+'INOVACION AGRICOLA'!H53+'SERVICIOS ESCOLARES'!H53+'DESARROLLO ACADEMICO'!H53+VINCULACIÓN!H53+PLANEACION!H53+CALIDAD!H53+'ADMON REC'!H53</f>
        <v>0</v>
      </c>
    </row>
    <row r="54" spans="1:13" s="21" customFormat="1" ht="14.25" x14ac:dyDescent="0.2">
      <c r="A54" s="54">
        <v>2611</v>
      </c>
      <c r="B54" s="64"/>
      <c r="C54" s="49" t="s">
        <v>66</v>
      </c>
      <c r="D54" s="61">
        <f t="shared" si="3"/>
        <v>0</v>
      </c>
      <c r="E54" s="147"/>
      <c r="F54" s="149"/>
      <c r="G54" s="150"/>
      <c r="H54" s="151"/>
      <c r="I54" s="30"/>
      <c r="K54" s="138">
        <f t="shared" si="1"/>
        <v>2611</v>
      </c>
      <c r="M54" s="139">
        <f>H54+ALIMENTARIAS!H54+'INOVACION AGRICOLA'!H54+'SERVICIOS ESCOLARES'!H54+'DESARROLLO ACADEMICO'!H54+VINCULACIÓN!H54+PLANEACION!H54+CALIDAD!H54+'ADMON REC'!H54</f>
        <v>20000</v>
      </c>
    </row>
    <row r="55" spans="1:13" s="21" customFormat="1" ht="14.25" x14ac:dyDescent="0.2">
      <c r="A55" s="54">
        <v>2612</v>
      </c>
      <c r="B55" s="64"/>
      <c r="C55" s="49" t="s">
        <v>67</v>
      </c>
      <c r="D55" s="61">
        <f t="shared" si="3"/>
        <v>2000</v>
      </c>
      <c r="E55" s="147">
        <v>1000</v>
      </c>
      <c r="F55" s="149">
        <v>1000</v>
      </c>
      <c r="G55" s="98"/>
      <c r="H55" s="92"/>
      <c r="I55" s="30"/>
      <c r="K55" s="138">
        <f t="shared" si="1"/>
        <v>2612</v>
      </c>
      <c r="M55" s="139">
        <f>H55+ALIMENTARIAS!H55+'INOVACION AGRICOLA'!H55+'SERVICIOS ESCOLARES'!H55+'DESARROLLO ACADEMICO'!H55+VINCULACIÓN!H55+PLANEACION!H55+CALIDAD!H55+'ADMON REC'!H55</f>
        <v>0</v>
      </c>
    </row>
    <row r="56" spans="1:13" s="21" customFormat="1" ht="14.25" x14ac:dyDescent="0.2">
      <c r="A56" s="54">
        <v>2711</v>
      </c>
      <c r="B56" s="64"/>
      <c r="C56" s="49" t="s">
        <v>68</v>
      </c>
      <c r="D56" s="61">
        <f t="shared" si="3"/>
        <v>0</v>
      </c>
      <c r="E56" s="147"/>
      <c r="F56" s="84"/>
      <c r="G56" s="98"/>
      <c r="H56" s="92"/>
      <c r="I56" s="30"/>
      <c r="K56" s="138">
        <f t="shared" si="1"/>
        <v>2711</v>
      </c>
      <c r="M56" s="139">
        <f>H56+ALIMENTARIAS!H56+'INOVACION AGRICOLA'!H56+'SERVICIOS ESCOLARES'!H56+'DESARROLLO ACADEMICO'!H56+VINCULACIÓN!H56+PLANEACION!H56+CALIDAD!H56+'ADMON REC'!H56</f>
        <v>0</v>
      </c>
    </row>
    <row r="57" spans="1:13" s="21" customFormat="1" ht="14.25" x14ac:dyDescent="0.2">
      <c r="A57" s="54">
        <v>2721</v>
      </c>
      <c r="B57" s="64"/>
      <c r="C57" s="49" t="s">
        <v>69</v>
      </c>
      <c r="D57" s="61">
        <f t="shared" si="3"/>
        <v>5000</v>
      </c>
      <c r="E57" s="147">
        <v>2500</v>
      </c>
      <c r="F57" s="84">
        <v>2500</v>
      </c>
      <c r="G57" s="98"/>
      <c r="H57" s="92"/>
      <c r="I57" s="30"/>
      <c r="K57" s="138">
        <f t="shared" si="1"/>
        <v>2721</v>
      </c>
      <c r="M57" s="139">
        <f>H57+ALIMENTARIAS!H57+'INOVACION AGRICOLA'!H57+'SERVICIOS ESCOLARES'!H57+'DESARROLLO ACADEMICO'!H57+VINCULACIÓN!H57+PLANEACION!H57+CALIDAD!H57+'ADMON REC'!H57</f>
        <v>0</v>
      </c>
    </row>
    <row r="58" spans="1:13" s="21" customFormat="1" ht="14.25" x14ac:dyDescent="0.2">
      <c r="A58" s="54">
        <v>2731</v>
      </c>
      <c r="B58" s="64"/>
      <c r="C58" s="49" t="s">
        <v>70</v>
      </c>
      <c r="D58" s="61">
        <f t="shared" si="3"/>
        <v>0</v>
      </c>
      <c r="E58" s="147"/>
      <c r="F58" s="84"/>
      <c r="G58" s="98"/>
      <c r="H58" s="92"/>
      <c r="I58" s="30"/>
      <c r="K58" s="138">
        <f t="shared" si="1"/>
        <v>2731</v>
      </c>
      <c r="M58" s="139">
        <f>H58+ALIMENTARIAS!H58+'INOVACION AGRICOLA'!H58+'SERVICIOS ESCOLARES'!H58+'DESARROLLO ACADEMICO'!H58+VINCULACIÓN!H58+PLANEACION!H58+CALIDAD!H58+'ADMON REC'!H58</f>
        <v>0</v>
      </c>
    </row>
    <row r="59" spans="1:13" s="21" customFormat="1" ht="14.25" x14ac:dyDescent="0.2">
      <c r="A59" s="54">
        <v>2911</v>
      </c>
      <c r="B59" s="64"/>
      <c r="C59" s="51" t="s">
        <v>71</v>
      </c>
      <c r="D59" s="61">
        <f t="shared" si="3"/>
        <v>27000</v>
      </c>
      <c r="E59" s="147">
        <v>3500</v>
      </c>
      <c r="F59" s="84">
        <v>3500</v>
      </c>
      <c r="G59" s="98"/>
      <c r="H59" s="92">
        <v>20000</v>
      </c>
      <c r="I59" s="30"/>
      <c r="K59" s="138">
        <f t="shared" si="1"/>
        <v>2911</v>
      </c>
      <c r="M59" s="139">
        <f>H59+ALIMENTARIAS!H59+'INOVACION AGRICOLA'!H59+'SERVICIOS ESCOLARES'!H59+'DESARROLLO ACADEMICO'!H59+VINCULACIÓN!H59+PLANEACION!H59+CALIDAD!H59+'ADMON REC'!H59</f>
        <v>20000</v>
      </c>
    </row>
    <row r="60" spans="1:13" s="21" customFormat="1" ht="24" x14ac:dyDescent="0.2">
      <c r="A60" s="54">
        <v>2921</v>
      </c>
      <c r="B60" s="64"/>
      <c r="C60" s="51" t="s">
        <v>72</v>
      </c>
      <c r="D60" s="61">
        <f t="shared" si="3"/>
        <v>0</v>
      </c>
      <c r="E60" s="147"/>
      <c r="F60" s="84"/>
      <c r="G60" s="98"/>
      <c r="H60" s="92"/>
      <c r="I60" s="30"/>
      <c r="K60" s="138">
        <f t="shared" si="1"/>
        <v>2921</v>
      </c>
      <c r="M60" s="139">
        <f>H60+ALIMENTARIAS!H60+'INOVACION AGRICOLA'!H60+'SERVICIOS ESCOLARES'!H60+'DESARROLLO ACADEMICO'!H60+VINCULACIÓN!H60+PLANEACION!H60+CALIDAD!H60+'ADMON REC'!H60</f>
        <v>15000</v>
      </c>
    </row>
    <row r="61" spans="1:13" s="21" customFormat="1" ht="36" x14ac:dyDescent="0.2">
      <c r="A61" s="54">
        <v>2931</v>
      </c>
      <c r="B61" s="64"/>
      <c r="C61" s="51" t="s">
        <v>73</v>
      </c>
      <c r="D61" s="61">
        <f t="shared" si="3"/>
        <v>0</v>
      </c>
      <c r="E61" s="147"/>
      <c r="F61" s="84"/>
      <c r="G61" s="98"/>
      <c r="H61" s="92"/>
      <c r="I61" s="30"/>
      <c r="K61" s="138">
        <f t="shared" si="1"/>
        <v>2931</v>
      </c>
      <c r="M61" s="139">
        <f>H61+ALIMENTARIAS!H61+'INOVACION AGRICOLA'!H61+'SERVICIOS ESCOLARES'!H61+'DESARROLLO ACADEMICO'!H61+VINCULACIÓN!H61+PLANEACION!H61+CALIDAD!H61+'ADMON REC'!H61</f>
        <v>0</v>
      </c>
    </row>
    <row r="62" spans="1:13" s="21" customFormat="1" ht="36" x14ac:dyDescent="0.2">
      <c r="A62" s="54">
        <v>2941</v>
      </c>
      <c r="B62" s="64"/>
      <c r="C62" s="51" t="s">
        <v>74</v>
      </c>
      <c r="D62" s="61">
        <f t="shared" si="3"/>
        <v>0</v>
      </c>
      <c r="E62" s="147"/>
      <c r="F62" s="84"/>
      <c r="G62" s="98"/>
      <c r="H62" s="92"/>
      <c r="I62" s="30"/>
      <c r="K62" s="138">
        <f t="shared" si="1"/>
        <v>2941</v>
      </c>
      <c r="M62" s="139">
        <f>H62+ALIMENTARIAS!H62+'INOVACION AGRICOLA'!H62+'SERVICIOS ESCOLARES'!H62+'DESARROLLO ACADEMICO'!H62+VINCULACIÓN!H62+PLANEACION!H62+CALIDAD!H62+'ADMON REC'!H62</f>
        <v>0</v>
      </c>
    </row>
    <row r="63" spans="1:13" s="21" customFormat="1" ht="36" x14ac:dyDescent="0.2">
      <c r="A63" s="54">
        <v>2951</v>
      </c>
      <c r="B63" s="64"/>
      <c r="C63" s="51" t="s">
        <v>75</v>
      </c>
      <c r="D63" s="61">
        <f t="shared" si="3"/>
        <v>12000</v>
      </c>
      <c r="E63" s="147">
        <v>6000</v>
      </c>
      <c r="F63" s="149">
        <v>6000</v>
      </c>
      <c r="G63" s="98"/>
      <c r="H63" s="92"/>
      <c r="I63" s="30"/>
      <c r="K63" s="138">
        <f t="shared" si="1"/>
        <v>2951</v>
      </c>
      <c r="M63" s="139">
        <f>H63+ALIMENTARIAS!H63+'INOVACION AGRICOLA'!H63+'SERVICIOS ESCOLARES'!H63+'DESARROLLO ACADEMICO'!H63+VINCULACIÓN!H63+PLANEACION!H63+CALIDAD!H63+'ADMON REC'!H63</f>
        <v>0</v>
      </c>
    </row>
    <row r="64" spans="1:13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153"/>
      <c r="F64" s="154"/>
      <c r="G64" s="150"/>
      <c r="H64" s="151"/>
      <c r="I64" s="30"/>
      <c r="K64" s="138">
        <f t="shared" si="1"/>
        <v>2961</v>
      </c>
      <c r="M64" s="139">
        <f>H64+ALIMENTARIAS!H64+'INOVACION AGRICOLA'!H64+'SERVICIOS ESCOLARES'!H64+'DESARROLLO ACADEMICO'!H64+VINCULACIÓN!H64+PLANEACION!H64+CALIDAD!H64+'ADMON REC'!H64</f>
        <v>0</v>
      </c>
    </row>
    <row r="65" spans="1:16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147"/>
      <c r="F65" s="84"/>
      <c r="G65" s="98"/>
      <c r="H65" s="92"/>
      <c r="I65" s="30"/>
      <c r="K65" s="138">
        <f t="shared" si="1"/>
        <v>2981</v>
      </c>
      <c r="M65" s="139">
        <f>H65+ALIMENTARIAS!H65+'INOVACION AGRICOLA'!H65+'SERVICIOS ESCOLARES'!H65+'DESARROLLO ACADEMICO'!H65+VINCULACIÓN!H65+PLANEACION!H65+CALIDAD!H65+'ADMON REC'!H65</f>
        <v>0</v>
      </c>
    </row>
    <row r="66" spans="1:16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147"/>
      <c r="F66" s="84"/>
      <c r="G66" s="98"/>
      <c r="H66" s="92"/>
      <c r="I66" s="30"/>
      <c r="K66" s="138">
        <f t="shared" si="1"/>
        <v>2991</v>
      </c>
      <c r="M66" s="139">
        <f>H66+ALIMENTARIAS!H66+'INOVACION AGRICOLA'!H66+'SERVICIOS ESCOLARES'!H66+'DESARROLLO ACADEMICO'!H66+VINCULACIÓN!H66+PLANEACION!H66+CALIDAD!H66+'ADMON REC'!H66</f>
        <v>0</v>
      </c>
    </row>
    <row r="67" spans="1:16" s="11" customFormat="1" ht="25.5" x14ac:dyDescent="0.2">
      <c r="A67" s="22"/>
      <c r="B67" s="22"/>
      <c r="C67" s="62" t="s">
        <v>17</v>
      </c>
      <c r="D67" s="66">
        <f>SUM(D29:D66)</f>
        <v>76000</v>
      </c>
      <c r="E67" s="66">
        <f t="shared" ref="E67:H67" si="4">SUM(E29:E66)</f>
        <v>25000</v>
      </c>
      <c r="F67" s="66">
        <f t="shared" si="4"/>
        <v>22000</v>
      </c>
      <c r="G67" s="66">
        <f t="shared" si="4"/>
        <v>0</v>
      </c>
      <c r="H67" s="66">
        <f t="shared" si="4"/>
        <v>29000</v>
      </c>
      <c r="I67" s="25"/>
      <c r="J67" s="26"/>
      <c r="K67" s="142">
        <f t="shared" si="1"/>
        <v>0</v>
      </c>
      <c r="M67" s="140">
        <f>SUM(M29:M66)</f>
        <v>589011.26</v>
      </c>
      <c r="N67" s="140">
        <f>H67+ALIMENTARIAS!H67+'INOVACION AGRICOLA'!H67+'SERVICIOS ESCOLARES'!H67+'DESARROLLO ACADEMICO'!H67+VINCULACIÓN!H67+PLANEACION!H67+CALIDAD!H67+'ADMON REC'!H67</f>
        <v>589011.26</v>
      </c>
    </row>
    <row r="68" spans="1:16" s="21" customFormat="1" ht="14.25" x14ac:dyDescent="0.2">
      <c r="A68" s="54">
        <v>3111</v>
      </c>
      <c r="B68" s="64"/>
      <c r="C68" s="49" t="s">
        <v>80</v>
      </c>
      <c r="D68" s="61">
        <f t="shared" ref="D68:D104" si="5">SUM(E68:H68)</f>
        <v>0</v>
      </c>
      <c r="E68" s="77"/>
      <c r="F68" s="86"/>
      <c r="G68" s="100"/>
      <c r="H68" s="94"/>
      <c r="I68" s="30"/>
      <c r="K68" s="138">
        <f t="shared" si="1"/>
        <v>3111</v>
      </c>
      <c r="M68" s="139">
        <f>H68+ALIMENTARIAS!H68+'INOVACION AGRICOLA'!H68+'SERVICIOS ESCOLARES'!H68+'DESARROLLO ACADEMICO'!H68+VINCULACIÓN!H68+PLANEACION!H68+CALIDAD!H68+'ADMON REC'!H68</f>
        <v>66463.05</v>
      </c>
      <c r="P68" s="139"/>
    </row>
    <row r="69" spans="1:16" s="21" customFormat="1" ht="14.25" x14ac:dyDescent="0.2">
      <c r="A69" s="54">
        <v>3121</v>
      </c>
      <c r="B69" s="64"/>
      <c r="C69" s="49" t="s">
        <v>81</v>
      </c>
      <c r="D69" s="61">
        <f t="shared" si="5"/>
        <v>4000</v>
      </c>
      <c r="E69" s="77">
        <v>2000</v>
      </c>
      <c r="F69" s="86">
        <v>2000</v>
      </c>
      <c r="G69" s="99"/>
      <c r="H69" s="93"/>
      <c r="I69" s="30"/>
      <c r="K69" s="138">
        <f t="shared" si="1"/>
        <v>3121</v>
      </c>
      <c r="M69" s="139">
        <f>H69+ALIMENTARIAS!H69+'INOVACION AGRICOLA'!H69+'SERVICIOS ESCOLARES'!H69+'DESARROLLO ACADEMICO'!H69+VINCULACIÓN!H69+PLANEACION!H69+CALIDAD!H69+'ADMON REC'!H69</f>
        <v>0</v>
      </c>
    </row>
    <row r="70" spans="1:16" s="21" customFormat="1" ht="14.25" x14ac:dyDescent="0.2">
      <c r="A70" s="54">
        <v>3141</v>
      </c>
      <c r="B70" s="64"/>
      <c r="C70" s="49" t="s">
        <v>82</v>
      </c>
      <c r="D70" s="61">
        <f t="shared" si="5"/>
        <v>0</v>
      </c>
      <c r="E70" s="79"/>
      <c r="F70" s="85"/>
      <c r="G70" s="99"/>
      <c r="H70" s="93"/>
      <c r="I70" s="30"/>
      <c r="K70" s="138">
        <f t="shared" si="1"/>
        <v>3141</v>
      </c>
      <c r="M70" s="139">
        <f>H70+ALIMENTARIAS!H70+'INOVACION AGRICOLA'!H70+'SERVICIOS ESCOLARES'!H70+'DESARROLLO ACADEMICO'!H70+VINCULACIÓN!H70+PLANEACION!H70+CALIDAD!H70+'ADMON REC'!H70</f>
        <v>0</v>
      </c>
    </row>
    <row r="71" spans="1:16" s="21" customFormat="1" ht="14.25" x14ac:dyDescent="0.2">
      <c r="A71" s="54">
        <v>3151</v>
      </c>
      <c r="B71" s="64"/>
      <c r="C71" s="49" t="s">
        <v>83</v>
      </c>
      <c r="D71" s="61">
        <f t="shared" si="5"/>
        <v>0</v>
      </c>
      <c r="E71" s="77"/>
      <c r="F71" s="86"/>
      <c r="G71" s="100"/>
      <c r="H71" s="94"/>
      <c r="I71" s="30"/>
      <c r="K71" s="138">
        <f t="shared" si="1"/>
        <v>3151</v>
      </c>
      <c r="M71" s="139">
        <f>H71+ALIMENTARIAS!H71+'INOVACION AGRICOLA'!H71+'SERVICIOS ESCOLARES'!H71+'DESARROLLO ACADEMICO'!H71+VINCULACIÓN!H71+PLANEACION!H71+CALIDAD!H71+'ADMON REC'!H71</f>
        <v>5000</v>
      </c>
    </row>
    <row r="72" spans="1:16" s="21" customFormat="1" ht="24" x14ac:dyDescent="0.2">
      <c r="A72" s="54">
        <v>3171</v>
      </c>
      <c r="B72" s="64"/>
      <c r="C72" s="49" t="s">
        <v>84</v>
      </c>
      <c r="D72" s="61">
        <f t="shared" si="5"/>
        <v>0</v>
      </c>
      <c r="E72" s="77"/>
      <c r="F72" s="86"/>
      <c r="G72" s="100"/>
      <c r="H72" s="94"/>
      <c r="I72" s="30"/>
      <c r="K72" s="138">
        <f t="shared" si="1"/>
        <v>3171</v>
      </c>
      <c r="M72" s="139">
        <f>H72+ALIMENTARIAS!H72+'INOVACION AGRICOLA'!H72+'SERVICIOS ESCOLARES'!H72+'DESARROLLO ACADEMICO'!H72+VINCULACIÓN!H72+PLANEACION!H72+CALIDAD!H72+'ADMON REC'!H72</f>
        <v>55000</v>
      </c>
    </row>
    <row r="73" spans="1:16" s="21" customFormat="1" ht="14.25" x14ac:dyDescent="0.2">
      <c r="A73" s="54">
        <v>3181</v>
      </c>
      <c r="B73" s="64"/>
      <c r="C73" s="49" t="s">
        <v>85</v>
      </c>
      <c r="D73" s="61">
        <f t="shared" si="5"/>
        <v>0</v>
      </c>
      <c r="E73" s="77"/>
      <c r="F73" s="86"/>
      <c r="G73" s="100"/>
      <c r="H73" s="94"/>
      <c r="I73" s="30"/>
      <c r="K73" s="138">
        <f t="shared" si="1"/>
        <v>3181</v>
      </c>
      <c r="M73" s="139">
        <f>H73+ALIMENTARIAS!H73+'INOVACION AGRICOLA'!H73+'SERVICIOS ESCOLARES'!H73+'DESARROLLO ACADEMICO'!H73+VINCULACIÓN!H73+PLANEACION!H73+CALIDAD!H73+'ADMON REC'!H73</f>
        <v>20000</v>
      </c>
    </row>
    <row r="74" spans="1:16" s="21" customFormat="1" ht="14.25" x14ac:dyDescent="0.2">
      <c r="A74" s="54">
        <v>3221</v>
      </c>
      <c r="B74" s="64"/>
      <c r="C74" s="49" t="s">
        <v>86</v>
      </c>
      <c r="D74" s="61">
        <f t="shared" si="5"/>
        <v>0</v>
      </c>
      <c r="E74" s="77"/>
      <c r="F74" s="86"/>
      <c r="G74" s="100"/>
      <c r="H74" s="94"/>
      <c r="I74" s="30"/>
      <c r="K74" s="138">
        <f t="shared" si="1"/>
        <v>3221</v>
      </c>
      <c r="M74" s="139">
        <f>H74+ALIMENTARIAS!H74+'INOVACION AGRICOLA'!H74+'SERVICIOS ESCOLARES'!H74+'DESARROLLO ACADEMICO'!H74+VINCULACIÓN!H74+PLANEACION!H74+CALIDAD!H74+'ADMON REC'!H74</f>
        <v>0</v>
      </c>
    </row>
    <row r="75" spans="1:16" s="21" customFormat="1" ht="14.25" x14ac:dyDescent="0.2">
      <c r="A75" s="56">
        <v>3231</v>
      </c>
      <c r="B75" s="32"/>
      <c r="C75" s="50" t="s">
        <v>87</v>
      </c>
      <c r="D75" s="61">
        <f t="shared" si="5"/>
        <v>0</v>
      </c>
      <c r="E75" s="77"/>
      <c r="F75" s="85"/>
      <c r="G75" s="99"/>
      <c r="H75" s="93"/>
      <c r="I75" s="30"/>
      <c r="K75" s="138">
        <f t="shared" si="1"/>
        <v>3231</v>
      </c>
      <c r="M75" s="139">
        <f>H75+ALIMENTARIAS!H75+'INOVACION AGRICOLA'!H75+'SERVICIOS ESCOLARES'!H75+'DESARROLLO ACADEMICO'!H75+VINCULACIÓN!H75+PLANEACION!H75+CALIDAD!H75+'ADMON REC'!H75</f>
        <v>5000</v>
      </c>
    </row>
    <row r="76" spans="1:16" s="21" customFormat="1" ht="24" x14ac:dyDescent="0.2">
      <c r="A76" s="54">
        <v>3261</v>
      </c>
      <c r="B76" s="64"/>
      <c r="C76" s="49" t="s">
        <v>88</v>
      </c>
      <c r="D76" s="61">
        <f t="shared" si="5"/>
        <v>0</v>
      </c>
      <c r="E76" s="77"/>
      <c r="F76" s="85"/>
      <c r="G76" s="99"/>
      <c r="H76" s="94"/>
      <c r="I76" s="30"/>
      <c r="K76" s="138">
        <f t="shared" si="1"/>
        <v>3261</v>
      </c>
      <c r="M76" s="139">
        <f>H76+ALIMENTARIAS!H76+'INOVACION AGRICOLA'!H76+'SERVICIOS ESCOLARES'!H76+'DESARROLLO ACADEMICO'!H76+VINCULACIÓN!H76+PLANEACION!H76+CALIDAD!H76+'ADMON REC'!H76</f>
        <v>0</v>
      </c>
    </row>
    <row r="77" spans="1:16" s="21" customFormat="1" ht="24" x14ac:dyDescent="0.2">
      <c r="A77" s="54">
        <v>3311</v>
      </c>
      <c r="B77" s="64"/>
      <c r="C77" s="49" t="s">
        <v>89</v>
      </c>
      <c r="D77" s="61">
        <f t="shared" si="5"/>
        <v>0</v>
      </c>
      <c r="E77" s="77"/>
      <c r="F77" s="86"/>
      <c r="G77" s="100"/>
      <c r="H77" s="94"/>
      <c r="I77" s="30"/>
      <c r="K77" s="138">
        <f t="shared" si="1"/>
        <v>3311</v>
      </c>
      <c r="M77" s="139">
        <f>H77+ALIMENTARIAS!H77+'INOVACION AGRICOLA'!H77+'SERVICIOS ESCOLARES'!H77+'DESARROLLO ACADEMICO'!H77+VINCULACIÓN!H77+PLANEACION!H77+CALIDAD!H77+'ADMON REC'!H77</f>
        <v>115000</v>
      </c>
    </row>
    <row r="78" spans="1:16" s="21" customFormat="1" ht="24" x14ac:dyDescent="0.2">
      <c r="A78" s="54">
        <v>3331</v>
      </c>
      <c r="B78" s="64"/>
      <c r="C78" s="49" t="s">
        <v>90</v>
      </c>
      <c r="D78" s="61">
        <f t="shared" si="5"/>
        <v>0</v>
      </c>
      <c r="E78" s="77"/>
      <c r="F78" s="86"/>
      <c r="G78" s="100"/>
      <c r="H78" s="94"/>
      <c r="I78" s="30"/>
      <c r="K78" s="138">
        <f t="shared" ref="K78:K121" si="6">A78</f>
        <v>3331</v>
      </c>
      <c r="M78" s="139">
        <f>H78+ALIMENTARIAS!H78+'INOVACION AGRICOLA'!H78+'SERVICIOS ESCOLARES'!H78+'DESARROLLO ACADEMICO'!H78+VINCULACIÓN!H78+PLANEACION!H78+CALIDAD!H78+'ADMON REC'!H78</f>
        <v>115080</v>
      </c>
    </row>
    <row r="79" spans="1:16" s="21" customFormat="1" ht="14.25" x14ac:dyDescent="0.2">
      <c r="A79" s="54">
        <v>3341</v>
      </c>
      <c r="B79" s="64"/>
      <c r="C79" s="49" t="s">
        <v>91</v>
      </c>
      <c r="D79" s="61">
        <f t="shared" si="5"/>
        <v>0</v>
      </c>
      <c r="E79" s="77"/>
      <c r="F79" s="85"/>
      <c r="G79" s="99"/>
      <c r="H79" s="93"/>
      <c r="I79" s="30"/>
      <c r="K79" s="138">
        <f t="shared" si="6"/>
        <v>3341</v>
      </c>
      <c r="M79" s="139">
        <f>H79+ALIMENTARIAS!H79+'INOVACION AGRICOLA'!H79+'SERVICIOS ESCOLARES'!H79+'DESARROLLO ACADEMICO'!H79+VINCULACIÓN!H79+PLANEACION!H79+CALIDAD!H79+'ADMON REC'!H79</f>
        <v>0</v>
      </c>
    </row>
    <row r="80" spans="1:16" s="21" customFormat="1" ht="14.25" x14ac:dyDescent="0.2">
      <c r="A80" s="54">
        <v>3342</v>
      </c>
      <c r="B80" s="64"/>
      <c r="C80" s="49" t="s">
        <v>92</v>
      </c>
      <c r="D80" s="61">
        <f t="shared" si="5"/>
        <v>15000</v>
      </c>
      <c r="E80" s="77"/>
      <c r="F80" s="85">
        <v>15000</v>
      </c>
      <c r="G80" s="99"/>
      <c r="H80" s="93"/>
      <c r="I80" s="30"/>
      <c r="K80" s="138">
        <f t="shared" si="6"/>
        <v>3342</v>
      </c>
      <c r="M80" s="139">
        <f>H80+ALIMENTARIAS!H80+'INOVACION AGRICOLA'!H80+'SERVICIOS ESCOLARES'!H80+'DESARROLLO ACADEMICO'!H80+VINCULACIÓN!H80+PLANEACION!H80+CALIDAD!H80+'ADMON REC'!H80</f>
        <v>0</v>
      </c>
    </row>
    <row r="81" spans="1:13" s="21" customFormat="1" ht="24" x14ac:dyDescent="0.2">
      <c r="A81" s="54">
        <v>3361</v>
      </c>
      <c r="B81" s="64"/>
      <c r="C81" s="49" t="s">
        <v>93</v>
      </c>
      <c r="D81" s="61">
        <f t="shared" si="5"/>
        <v>0</v>
      </c>
      <c r="E81" s="77"/>
      <c r="F81" s="85"/>
      <c r="G81" s="99"/>
      <c r="H81" s="93"/>
      <c r="I81" s="30"/>
      <c r="K81" s="138">
        <f t="shared" si="6"/>
        <v>3361</v>
      </c>
      <c r="M81" s="139">
        <f>H81+ALIMENTARIAS!H81+'INOVACION AGRICOLA'!H81+'SERVICIOS ESCOLARES'!H81+'DESARROLLO ACADEMICO'!H81+VINCULACIÓN!H81+PLANEACION!H81+CALIDAD!H81+'ADMON REC'!H81</f>
        <v>5000</v>
      </c>
    </row>
    <row r="82" spans="1:13" s="21" customFormat="1" ht="14.25" x14ac:dyDescent="0.2">
      <c r="A82" s="54">
        <v>3362</v>
      </c>
      <c r="B82" s="64"/>
      <c r="C82" s="49" t="s">
        <v>94</v>
      </c>
      <c r="D82" s="61">
        <f t="shared" si="5"/>
        <v>0</v>
      </c>
      <c r="E82" s="77"/>
      <c r="F82" s="88"/>
      <c r="G82" s="99"/>
      <c r="H82" s="93"/>
      <c r="I82" s="30"/>
      <c r="K82" s="138">
        <f t="shared" si="6"/>
        <v>3362</v>
      </c>
      <c r="M82" s="139">
        <f>H82+ALIMENTARIAS!H82+'INOVACION AGRICOLA'!H82+'SERVICIOS ESCOLARES'!H82+'DESARROLLO ACADEMICO'!H82+VINCULACIÓN!H82+PLANEACION!H82+CALIDAD!H82+'ADMON REC'!H82</f>
        <v>20000</v>
      </c>
    </row>
    <row r="83" spans="1:13" s="21" customFormat="1" ht="14.25" x14ac:dyDescent="0.2">
      <c r="A83" s="54">
        <v>3381</v>
      </c>
      <c r="B83" s="64"/>
      <c r="C83" s="49" t="s">
        <v>95</v>
      </c>
      <c r="D83" s="61">
        <f t="shared" si="5"/>
        <v>0</v>
      </c>
      <c r="E83" s="77"/>
      <c r="F83" s="85"/>
      <c r="G83" s="99"/>
      <c r="H83" s="93"/>
      <c r="I83" s="30"/>
      <c r="K83" s="138">
        <f t="shared" si="6"/>
        <v>3381</v>
      </c>
      <c r="M83" s="139">
        <f>H83+ALIMENTARIAS!H83+'INOVACION AGRICOLA'!H83+'SERVICIOS ESCOLARES'!H83+'DESARROLLO ACADEMICO'!H83+VINCULACIÓN!H83+PLANEACION!H83+CALIDAD!H83+'ADMON REC'!H83</f>
        <v>0</v>
      </c>
    </row>
    <row r="84" spans="1:13" s="21" customFormat="1" ht="24" x14ac:dyDescent="0.2">
      <c r="A84" s="54">
        <v>3391</v>
      </c>
      <c r="B84" s="64"/>
      <c r="C84" s="49" t="s">
        <v>96</v>
      </c>
      <c r="D84" s="61">
        <f t="shared" si="5"/>
        <v>0</v>
      </c>
      <c r="E84" s="77"/>
      <c r="F84" s="86"/>
      <c r="G84" s="100"/>
      <c r="H84" s="94"/>
      <c r="I84" s="30"/>
      <c r="K84" s="138">
        <f t="shared" si="6"/>
        <v>3391</v>
      </c>
      <c r="M84" s="139">
        <f>H84+ALIMENTARIAS!H84+'INOVACION AGRICOLA'!H84+'SERVICIOS ESCOLARES'!H84+'DESARROLLO ACADEMICO'!H84+VINCULACIÓN!H84+PLANEACION!H84+CALIDAD!H84+'ADMON REC'!H84</f>
        <v>380000</v>
      </c>
    </row>
    <row r="85" spans="1:13" s="21" customFormat="1" ht="14.25" x14ac:dyDescent="0.2">
      <c r="A85" s="54">
        <v>3411</v>
      </c>
      <c r="B85" s="64"/>
      <c r="C85" s="49" t="s">
        <v>97</v>
      </c>
      <c r="D85" s="61">
        <f t="shared" si="5"/>
        <v>0</v>
      </c>
      <c r="E85" s="77"/>
      <c r="F85" s="86"/>
      <c r="G85" s="100"/>
      <c r="H85" s="94"/>
      <c r="I85" s="30"/>
      <c r="K85" s="138">
        <f t="shared" si="6"/>
        <v>3411</v>
      </c>
      <c r="M85" s="139">
        <f>H85+ALIMENTARIAS!H85+'INOVACION AGRICOLA'!H85+'SERVICIOS ESCOLARES'!H85+'DESARROLLO ACADEMICO'!H85+VINCULACIÓN!H85+PLANEACION!H85+CALIDAD!H85+'ADMON REC'!H85</f>
        <v>5000</v>
      </c>
    </row>
    <row r="86" spans="1:13" s="21" customFormat="1" ht="14.25" x14ac:dyDescent="0.2">
      <c r="A86" s="54">
        <v>3451</v>
      </c>
      <c r="B86" s="64"/>
      <c r="C86" s="49" t="s">
        <v>98</v>
      </c>
      <c r="D86" s="61">
        <f t="shared" si="5"/>
        <v>0</v>
      </c>
      <c r="E86" s="77"/>
      <c r="F86" s="85"/>
      <c r="G86" s="99"/>
      <c r="H86" s="93"/>
      <c r="I86" s="30"/>
      <c r="K86" s="138">
        <f t="shared" si="6"/>
        <v>3451</v>
      </c>
      <c r="M86" s="139">
        <f>H86+ALIMENTARIAS!H86+'INOVACION AGRICOLA'!H86+'SERVICIOS ESCOLARES'!H86+'DESARROLLO ACADEMICO'!H86+VINCULACIÓN!H86+PLANEACION!H86+CALIDAD!H86+'ADMON REC'!H86</f>
        <v>279495.56</v>
      </c>
    </row>
    <row r="87" spans="1:13" s="21" customFormat="1" ht="14.25" x14ac:dyDescent="0.2">
      <c r="A87" s="54">
        <v>3471</v>
      </c>
      <c r="B87" s="64"/>
      <c r="C87" s="49" t="s">
        <v>99</v>
      </c>
      <c r="D87" s="61">
        <f t="shared" si="5"/>
        <v>0</v>
      </c>
      <c r="E87" s="77"/>
      <c r="F87" s="85"/>
      <c r="G87" s="99"/>
      <c r="H87" s="93"/>
      <c r="I87" s="30"/>
      <c r="K87" s="138">
        <f t="shared" si="6"/>
        <v>3471</v>
      </c>
      <c r="M87" s="139">
        <f>H87+ALIMENTARIAS!H87+'INOVACION AGRICOLA'!H87+'SERVICIOS ESCOLARES'!H87+'DESARROLLO ACADEMICO'!H87+VINCULACIÓN!H87+PLANEACION!H87+CALIDAD!H87+'ADMON REC'!H87</f>
        <v>0</v>
      </c>
    </row>
    <row r="88" spans="1:13" s="21" customFormat="1" ht="24" x14ac:dyDescent="0.2">
      <c r="A88" s="54">
        <v>3511</v>
      </c>
      <c r="B88" s="64"/>
      <c r="C88" s="49" t="s">
        <v>100</v>
      </c>
      <c r="D88" s="61">
        <f t="shared" si="5"/>
        <v>0</v>
      </c>
      <c r="E88" s="77"/>
      <c r="F88" s="85"/>
      <c r="G88" s="99"/>
      <c r="H88" s="93"/>
      <c r="I88" s="30"/>
      <c r="K88" s="138">
        <f t="shared" si="6"/>
        <v>3511</v>
      </c>
      <c r="M88" s="139">
        <f>H88+ALIMENTARIAS!H88+'INOVACION AGRICOLA'!H88+'SERVICIOS ESCOLARES'!H88+'DESARROLLO ACADEMICO'!H88+VINCULACIÓN!H88+PLANEACION!H88+CALIDAD!H88+'ADMON REC'!H88</f>
        <v>20000</v>
      </c>
    </row>
    <row r="89" spans="1:13" s="34" customFormat="1" ht="36" x14ac:dyDescent="0.2">
      <c r="A89" s="54">
        <v>3531</v>
      </c>
      <c r="B89" s="64"/>
      <c r="C89" s="49" t="s">
        <v>101</v>
      </c>
      <c r="D89" s="61">
        <f t="shared" si="5"/>
        <v>0</v>
      </c>
      <c r="E89" s="77"/>
      <c r="F89" s="86"/>
      <c r="G89" s="100"/>
      <c r="H89" s="94"/>
      <c r="I89" s="33"/>
      <c r="K89" s="138">
        <f t="shared" si="6"/>
        <v>3531</v>
      </c>
      <c r="M89" s="139">
        <f>H89+ALIMENTARIAS!H89+'INOVACION AGRICOLA'!H89+'SERVICIOS ESCOLARES'!H89+'DESARROLLO ACADEMICO'!H89+VINCULACIÓN!H89+PLANEACION!H89+CALIDAD!H89+'ADMON REC'!H89</f>
        <v>0</v>
      </c>
    </row>
    <row r="90" spans="1:13" s="21" customFormat="1" ht="36" x14ac:dyDescent="0.2">
      <c r="A90" s="54">
        <v>3541</v>
      </c>
      <c r="B90" s="64"/>
      <c r="C90" s="49" t="s">
        <v>102</v>
      </c>
      <c r="D90" s="61">
        <f t="shared" si="5"/>
        <v>0</v>
      </c>
      <c r="E90" s="77"/>
      <c r="F90" s="86"/>
      <c r="G90" s="104"/>
      <c r="H90" s="93"/>
      <c r="I90" s="30"/>
      <c r="K90" s="138">
        <f t="shared" si="6"/>
        <v>3541</v>
      </c>
      <c r="M90" s="139">
        <f>H90+ALIMENTARIAS!H90+'INOVACION AGRICOLA'!H90+'SERVICIOS ESCOLARES'!H90+'DESARROLLO ACADEMICO'!H90+VINCULACIÓN!H90+PLANEACION!H90+CALIDAD!H90+'ADMON REC'!H90</f>
        <v>0</v>
      </c>
    </row>
    <row r="91" spans="1:13" s="21" customFormat="1" ht="24" x14ac:dyDescent="0.2">
      <c r="A91" s="54">
        <v>3551</v>
      </c>
      <c r="B91" s="64"/>
      <c r="C91" s="49" t="s">
        <v>103</v>
      </c>
      <c r="D91" s="61">
        <f t="shared" si="5"/>
        <v>0</v>
      </c>
      <c r="E91" s="77"/>
      <c r="F91" s="85"/>
      <c r="G91" s="105"/>
      <c r="H91" s="94"/>
      <c r="I91" s="30"/>
      <c r="K91" s="138">
        <f t="shared" si="6"/>
        <v>3551</v>
      </c>
      <c r="M91" s="139">
        <f>H91+ALIMENTARIAS!H91+'INOVACION AGRICOLA'!H91+'SERVICIOS ESCOLARES'!H91+'DESARROLLO ACADEMICO'!H91+VINCULACIÓN!H91+PLANEACION!H91+CALIDAD!H91+'ADMON REC'!H91</f>
        <v>0</v>
      </c>
    </row>
    <row r="92" spans="1:13" s="21" customFormat="1" ht="24" x14ac:dyDescent="0.2">
      <c r="A92" s="54">
        <v>3571</v>
      </c>
      <c r="B92" s="64"/>
      <c r="C92" s="49" t="s">
        <v>104</v>
      </c>
      <c r="D92" s="61">
        <f t="shared" si="5"/>
        <v>6000</v>
      </c>
      <c r="E92" s="77"/>
      <c r="F92" s="88"/>
      <c r="G92" s="136">
        <v>6000</v>
      </c>
      <c r="H92" s="93"/>
      <c r="I92" s="30"/>
      <c r="K92" s="138">
        <f t="shared" si="6"/>
        <v>3571</v>
      </c>
      <c r="M92" s="139">
        <f>H92+ALIMENTARIAS!H92+'INOVACION AGRICOLA'!H92+'SERVICIOS ESCOLARES'!H92+'DESARROLLO ACADEMICO'!H92+VINCULACIÓN!H92+PLANEACION!H92+CALIDAD!H92+'ADMON REC'!H92</f>
        <v>15000</v>
      </c>
    </row>
    <row r="93" spans="1:13" s="21" customFormat="1" ht="24" x14ac:dyDescent="0.2">
      <c r="A93" s="54">
        <v>3572</v>
      </c>
      <c r="B93" s="64"/>
      <c r="C93" s="49" t="s">
        <v>105</v>
      </c>
      <c r="D93" s="61">
        <f t="shared" si="5"/>
        <v>56000</v>
      </c>
      <c r="E93" s="77"/>
      <c r="F93" s="88"/>
      <c r="G93" s="136">
        <v>6000</v>
      </c>
      <c r="H93" s="207">
        <f>50000-30000+30000</f>
        <v>50000</v>
      </c>
      <c r="I93" s="30" t="s">
        <v>209</v>
      </c>
      <c r="K93" s="138">
        <f t="shared" si="6"/>
        <v>3572</v>
      </c>
      <c r="M93" s="139">
        <f>H93+ALIMENTARIAS!H93+'INOVACION AGRICOLA'!H93+'SERVICIOS ESCOLARES'!H93+'DESARROLLO ACADEMICO'!H93+VINCULACIÓN!H93+PLANEACION!H93+CALIDAD!H93+'ADMON REC'!H93</f>
        <v>65000</v>
      </c>
    </row>
    <row r="94" spans="1:13" s="21" customFormat="1" ht="14.25" x14ac:dyDescent="0.2">
      <c r="A94" s="54">
        <v>3581</v>
      </c>
      <c r="B94" s="64"/>
      <c r="C94" s="49" t="s">
        <v>106</v>
      </c>
      <c r="D94" s="61">
        <f t="shared" si="5"/>
        <v>0</v>
      </c>
      <c r="E94" s="77"/>
      <c r="F94" s="85"/>
      <c r="G94" s="99"/>
      <c r="H94" s="93"/>
      <c r="I94" s="30"/>
      <c r="K94" s="138">
        <f t="shared" si="6"/>
        <v>3581</v>
      </c>
      <c r="M94" s="139">
        <f>H94+ALIMENTARIAS!H94+'INOVACION AGRICOLA'!H94+'SERVICIOS ESCOLARES'!H94+'DESARROLLO ACADEMICO'!H94+VINCULACIÓN!H94+PLANEACION!H94+CALIDAD!H94+'ADMON REC'!H94</f>
        <v>10000</v>
      </c>
    </row>
    <row r="95" spans="1:13" s="21" customFormat="1" ht="14.25" x14ac:dyDescent="0.2">
      <c r="A95" s="54">
        <v>3591</v>
      </c>
      <c r="B95" s="64"/>
      <c r="C95" s="49" t="s">
        <v>107</v>
      </c>
      <c r="D95" s="61">
        <f t="shared" si="5"/>
        <v>0</v>
      </c>
      <c r="E95" s="77"/>
      <c r="F95" s="85"/>
      <c r="G95" s="99"/>
      <c r="H95" s="93"/>
      <c r="I95" s="30"/>
      <c r="K95" s="138">
        <f t="shared" si="6"/>
        <v>3591</v>
      </c>
      <c r="M95" s="139">
        <f>H95+ALIMENTARIAS!H95+'INOVACION AGRICOLA'!H95+'SERVICIOS ESCOLARES'!H95+'DESARROLLO ACADEMICO'!H95+VINCULACIÓN!H95+PLANEACION!H95+CALIDAD!H95+'ADMON REC'!H95</f>
        <v>0</v>
      </c>
    </row>
    <row r="96" spans="1:13" s="21" customFormat="1" ht="40.5" customHeight="1" x14ac:dyDescent="0.2">
      <c r="A96" s="54">
        <v>3621</v>
      </c>
      <c r="B96" s="64"/>
      <c r="C96" s="49" t="s">
        <v>108</v>
      </c>
      <c r="D96" s="61">
        <f t="shared" si="5"/>
        <v>0</v>
      </c>
      <c r="E96" s="77"/>
      <c r="F96" s="86"/>
      <c r="G96" s="100"/>
      <c r="H96" s="93"/>
      <c r="I96" s="30"/>
      <c r="K96" s="138">
        <f t="shared" si="6"/>
        <v>3621</v>
      </c>
      <c r="M96" s="139">
        <f>H96+ALIMENTARIAS!H96+'INOVACION AGRICOLA'!H96+'SERVICIOS ESCOLARES'!H96+'DESARROLLO ACADEMICO'!H96+VINCULACIÓN!H96+PLANEACION!H96+CALIDAD!H96+'ADMON REC'!H96</f>
        <v>50000</v>
      </c>
    </row>
    <row r="97" spans="1:14" s="21" customFormat="1" ht="18.75" customHeight="1" x14ac:dyDescent="0.2">
      <c r="A97" s="54">
        <v>3711</v>
      </c>
      <c r="B97" s="64"/>
      <c r="C97" s="49" t="s">
        <v>109</v>
      </c>
      <c r="D97" s="61">
        <f t="shared" si="5"/>
        <v>0</v>
      </c>
      <c r="E97" s="77"/>
      <c r="F97" s="85"/>
      <c r="G97" s="99"/>
      <c r="H97" s="94"/>
      <c r="I97" s="30"/>
      <c r="K97" s="138">
        <f t="shared" si="6"/>
        <v>3711</v>
      </c>
      <c r="M97" s="139">
        <f>H97+ALIMENTARIAS!H97+'INOVACION AGRICOLA'!H97+'SERVICIOS ESCOLARES'!H97+'DESARROLLO ACADEMICO'!H97+VINCULACIÓN!H97+PLANEACION!H97+CALIDAD!H97+'ADMON REC'!H97</f>
        <v>20000</v>
      </c>
    </row>
    <row r="98" spans="1:14" s="34" customFormat="1" ht="17.25" customHeight="1" x14ac:dyDescent="0.2">
      <c r="A98" s="54">
        <v>3721</v>
      </c>
      <c r="B98" s="64"/>
      <c r="C98" s="49" t="s">
        <v>110</v>
      </c>
      <c r="D98" s="61">
        <f t="shared" si="5"/>
        <v>1000</v>
      </c>
      <c r="E98" s="77"/>
      <c r="F98" s="86"/>
      <c r="G98" s="100">
        <v>1000</v>
      </c>
      <c r="H98" s="94"/>
      <c r="I98" s="33"/>
      <c r="K98" s="138">
        <f t="shared" si="6"/>
        <v>3721</v>
      </c>
      <c r="M98" s="139">
        <f>H98+ALIMENTARIAS!H98+'INOVACION AGRICOLA'!H98+'SERVICIOS ESCOLARES'!H98+'DESARROLLO ACADEMICO'!H98+VINCULACIÓN!H98+PLANEACION!H98+CALIDAD!H98+'ADMON REC'!H98</f>
        <v>15000</v>
      </c>
    </row>
    <row r="99" spans="1:14" s="34" customFormat="1" ht="14.25" x14ac:dyDescent="0.2">
      <c r="A99" s="54">
        <v>3751</v>
      </c>
      <c r="B99" s="64"/>
      <c r="C99" s="49" t="s">
        <v>111</v>
      </c>
      <c r="D99" s="61">
        <f t="shared" si="5"/>
        <v>10000</v>
      </c>
      <c r="E99" s="77"/>
      <c r="F99" s="86"/>
      <c r="G99" s="100">
        <v>10000</v>
      </c>
      <c r="H99" s="94"/>
      <c r="I99" s="33"/>
      <c r="K99" s="138">
        <f t="shared" si="6"/>
        <v>3751</v>
      </c>
      <c r="M99" s="139">
        <f>H99+ALIMENTARIAS!H99+'INOVACION AGRICOLA'!H99+'SERVICIOS ESCOLARES'!H99+'DESARROLLO ACADEMICO'!H99+VINCULACIÓN!H99+PLANEACION!H99+CALIDAD!H99+'ADMON REC'!H99</f>
        <v>80000</v>
      </c>
    </row>
    <row r="100" spans="1:14" s="34" customFormat="1" ht="14.25" x14ac:dyDescent="0.2">
      <c r="A100" s="54">
        <v>3791</v>
      </c>
      <c r="B100" s="64"/>
      <c r="C100" s="49" t="s">
        <v>112</v>
      </c>
      <c r="D100" s="61">
        <f t="shared" si="5"/>
        <v>0</v>
      </c>
      <c r="E100" s="77"/>
      <c r="F100" s="86"/>
      <c r="G100" s="100"/>
      <c r="H100" s="94"/>
      <c r="I100" s="33"/>
      <c r="K100" s="138">
        <f t="shared" si="6"/>
        <v>3791</v>
      </c>
      <c r="M100" s="139">
        <f>H100+ALIMENTARIAS!H100+'INOVACION AGRICOLA'!H100+'SERVICIOS ESCOLARES'!H100+'DESARROLLO ACADEMICO'!H100+VINCULACIÓN!H100+PLANEACION!H100+CALIDAD!H100+'ADMON REC'!H100</f>
        <v>60000</v>
      </c>
    </row>
    <row r="101" spans="1:14" s="34" customFormat="1" ht="14.25" x14ac:dyDescent="0.2">
      <c r="A101" s="54">
        <v>3821</v>
      </c>
      <c r="B101" s="64"/>
      <c r="C101" s="49" t="s">
        <v>113</v>
      </c>
      <c r="D101" s="61">
        <f t="shared" si="5"/>
        <v>20000</v>
      </c>
      <c r="E101" s="77"/>
      <c r="F101" s="86"/>
      <c r="G101" s="100">
        <v>20000</v>
      </c>
      <c r="H101" s="94"/>
      <c r="I101" s="33"/>
      <c r="K101" s="138">
        <f t="shared" si="6"/>
        <v>3821</v>
      </c>
      <c r="M101" s="139">
        <f>H101+ALIMENTARIAS!H101+'INOVACION AGRICOLA'!H101+'SERVICIOS ESCOLARES'!H101+'DESARROLLO ACADEMICO'!H101+VINCULACIÓN!H101+PLANEACION!H101+CALIDAD!H101+'ADMON REC'!H101</f>
        <v>55000</v>
      </c>
    </row>
    <row r="102" spans="1:14" s="34" customFormat="1" ht="14.25" x14ac:dyDescent="0.2">
      <c r="A102" s="54">
        <v>3822</v>
      </c>
      <c r="B102" s="64"/>
      <c r="C102" s="49" t="s">
        <v>114</v>
      </c>
      <c r="D102" s="61">
        <f t="shared" si="5"/>
        <v>0</v>
      </c>
      <c r="E102" s="77"/>
      <c r="F102" s="86"/>
      <c r="G102" s="100"/>
      <c r="H102" s="94"/>
      <c r="I102" s="33"/>
      <c r="K102" s="138">
        <f t="shared" si="6"/>
        <v>3822</v>
      </c>
      <c r="M102" s="139">
        <f>H102+ALIMENTARIAS!H102+'INOVACION AGRICOLA'!H102+'SERVICIOS ESCOLARES'!H102+'DESARROLLO ACADEMICO'!H102+VINCULACIÓN!H102+PLANEACION!H102+CALIDAD!H102+'ADMON REC'!H102</f>
        <v>94069.74</v>
      </c>
    </row>
    <row r="103" spans="1:14" s="34" customFormat="1" ht="14.25" x14ac:dyDescent="0.2">
      <c r="A103" s="54">
        <v>3792</v>
      </c>
      <c r="B103" s="64"/>
      <c r="C103" s="49" t="s">
        <v>115</v>
      </c>
      <c r="D103" s="61">
        <f t="shared" si="5"/>
        <v>2000</v>
      </c>
      <c r="E103" s="77"/>
      <c r="F103" s="86"/>
      <c r="G103" s="100"/>
      <c r="H103" s="94">
        <v>2000</v>
      </c>
      <c r="I103" s="33"/>
      <c r="K103" s="138">
        <f t="shared" si="6"/>
        <v>3792</v>
      </c>
      <c r="M103" s="139">
        <f>H103+ALIMENTARIAS!H103+'INOVACION AGRICOLA'!H103+'SERVICIOS ESCOLARES'!H103+'DESARROLLO ACADEMICO'!H103+VINCULACIÓN!H103+PLANEACION!H103+CALIDAD!H103+'ADMON REC'!H103</f>
        <v>35000</v>
      </c>
    </row>
    <row r="104" spans="1:14" s="34" customFormat="1" ht="14.25" x14ac:dyDescent="0.2">
      <c r="A104" s="54">
        <v>3921</v>
      </c>
      <c r="B104" s="64"/>
      <c r="C104" s="49" t="s">
        <v>116</v>
      </c>
      <c r="D104" s="61">
        <f t="shared" si="5"/>
        <v>0</v>
      </c>
      <c r="E104" s="80"/>
      <c r="F104" s="89"/>
      <c r="G104" s="106"/>
      <c r="H104" s="95"/>
      <c r="I104" s="33"/>
      <c r="K104" s="138">
        <f t="shared" si="6"/>
        <v>3921</v>
      </c>
      <c r="M104" s="139">
        <f>H104+ALIMENTARIAS!H104+'INOVACION AGRICOLA'!H104+'SERVICIOS ESCOLARES'!H104+'DESARROLLO ACADEMICO'!H104+VINCULACIÓN!H104+PLANEACION!H104+CALIDAD!H104+'ADMON REC'!H104</f>
        <v>30018</v>
      </c>
    </row>
    <row r="105" spans="1:14" s="11" customFormat="1" ht="25.5" x14ac:dyDescent="0.2">
      <c r="A105" s="22"/>
      <c r="B105" s="22"/>
      <c r="C105" s="62" t="s">
        <v>18</v>
      </c>
      <c r="D105" s="65">
        <f t="shared" ref="D105:H105" si="7">SUM(D68:D104)</f>
        <v>114000</v>
      </c>
      <c r="E105" s="65">
        <f t="shared" si="7"/>
        <v>2000</v>
      </c>
      <c r="F105" s="65">
        <f t="shared" si="7"/>
        <v>17000</v>
      </c>
      <c r="G105" s="65">
        <f t="shared" si="7"/>
        <v>43000</v>
      </c>
      <c r="H105" s="65">
        <f t="shared" si="7"/>
        <v>52000</v>
      </c>
      <c r="I105" s="30"/>
      <c r="J105" s="26"/>
      <c r="K105" s="138">
        <f t="shared" si="6"/>
        <v>0</v>
      </c>
      <c r="M105" s="143">
        <f>SUM(M68:M104)</f>
        <v>1620126.35</v>
      </c>
      <c r="N105" s="143">
        <f>H105+ALIMENTARIAS!H105+'INOVACION AGRICOLA'!H105+'SERVICIOS ESCOLARES'!H105+'DESARROLLO ACADEMICO'!H105+VINCULACIÓN!H105+PLANEACION!H105+CALIDAD!H105+'ADMON REC'!H105</f>
        <v>1620126.35</v>
      </c>
    </row>
    <row r="106" spans="1:14" x14ac:dyDescent="0.2">
      <c r="A106" s="35">
        <v>4419</v>
      </c>
      <c r="B106" s="35"/>
      <c r="C106" s="60" t="s">
        <v>154</v>
      </c>
      <c r="D106" s="36">
        <f>SUM(E106:H106)</f>
        <v>0</v>
      </c>
      <c r="E106" s="81"/>
      <c r="F106" s="90"/>
      <c r="G106" s="101"/>
      <c r="H106" s="96"/>
      <c r="I106" s="38"/>
      <c r="K106" s="138">
        <f t="shared" si="6"/>
        <v>4419</v>
      </c>
      <c r="M106" s="139">
        <f>H106+ALIMENTARIAS!H106+'INOVACION AGRICOLA'!H106+'SERVICIOS ESCOLARES'!H106+'DESARROLLO ACADEMICO'!H106+VINCULACIÓN!H106+PLANEACION!H106+CALIDAD!H106+'ADMON REC'!H106</f>
        <v>0</v>
      </c>
    </row>
    <row r="107" spans="1:14" s="11" customFormat="1" ht="24.75" customHeight="1" x14ac:dyDescent="0.2">
      <c r="A107" s="473" t="s">
        <v>117</v>
      </c>
      <c r="B107" s="474"/>
      <c r="C107" s="475"/>
      <c r="D107" s="23">
        <f t="shared" ref="D107:H107" si="8">SUM(D106:D106)</f>
        <v>0</v>
      </c>
      <c r="E107" s="23">
        <f t="shared" si="8"/>
        <v>0</v>
      </c>
      <c r="F107" s="23">
        <f t="shared" si="8"/>
        <v>0</v>
      </c>
      <c r="G107" s="23">
        <f t="shared" si="8"/>
        <v>0</v>
      </c>
      <c r="H107" s="23">
        <f t="shared" si="8"/>
        <v>0</v>
      </c>
      <c r="I107" s="25"/>
      <c r="K107" s="138" t="str">
        <f t="shared" si="6"/>
        <v>TOTAL CAPÍTULO 4000 Transferencias, Subsidios, Subvenciones, Pensiones y Jubilaciones</v>
      </c>
      <c r="M107" s="139">
        <f>H107+ALIMENTARIAS!H107+'INOVACION AGRICOLA'!H107+'SERVICIOS ESCOLARES'!H107+'DESARROLLO ACADEMICO'!H107+VINCULACIÓN!H107+PLANEACION!H107+CALIDAD!H107+'ADMON REC'!H107</f>
        <v>0</v>
      </c>
    </row>
    <row r="108" spans="1:14" s="73" customFormat="1" ht="25.5" x14ac:dyDescent="0.2">
      <c r="A108" s="35">
        <v>5151</v>
      </c>
      <c r="B108" s="35"/>
      <c r="C108" s="40" t="s">
        <v>144</v>
      </c>
      <c r="D108" s="36">
        <f t="shared" ref="D108:D110" si="9">SUM(E108:H108)</f>
        <v>0</v>
      </c>
      <c r="E108" s="81"/>
      <c r="F108" s="90"/>
      <c r="G108" s="101"/>
      <c r="H108" s="129"/>
      <c r="I108" s="72"/>
      <c r="K108" s="138">
        <f t="shared" si="6"/>
        <v>5151</v>
      </c>
      <c r="M108" s="139">
        <f>H108+ALIMENTARIAS!H108+'INOVACION AGRICOLA'!H108+'SERVICIOS ESCOLARES'!H108+'DESARROLLO ACADEMICO'!H108+VINCULACIÓN!H109+PLANEACION!H108+CALIDAD!H108+'ADMON REC'!H108</f>
        <v>235000</v>
      </c>
    </row>
    <row r="109" spans="1:14" s="73" customFormat="1" x14ac:dyDescent="0.2">
      <c r="A109" s="35">
        <v>5611</v>
      </c>
      <c r="B109" s="35"/>
      <c r="C109" s="60" t="s">
        <v>146</v>
      </c>
      <c r="D109" s="36">
        <f t="shared" si="9"/>
        <v>0</v>
      </c>
      <c r="E109" s="81"/>
      <c r="F109" s="90"/>
      <c r="G109" s="101"/>
      <c r="H109" s="129"/>
      <c r="I109" s="72"/>
      <c r="K109" s="138">
        <f t="shared" si="6"/>
        <v>5611</v>
      </c>
      <c r="M109" s="139">
        <f>H109+ALIMENTARIAS!H109+'INOVACION AGRICOLA'!H109+'SERVICIOS ESCOLARES'!H109+'DESARROLLO ACADEMICO'!H109+VINCULACIÓN!H112+PLANEACION!H109+CALIDAD!H109+'ADMON REC'!H112</f>
        <v>425495.84</v>
      </c>
    </row>
    <row r="110" spans="1:14" s="73" customFormat="1" x14ac:dyDescent="0.2">
      <c r="A110" s="35">
        <v>5621</v>
      </c>
      <c r="B110" s="35"/>
      <c r="C110" s="60" t="s">
        <v>149</v>
      </c>
      <c r="D110" s="36">
        <f t="shared" si="9"/>
        <v>200000</v>
      </c>
      <c r="E110" s="81"/>
      <c r="F110" s="90"/>
      <c r="G110" s="101"/>
      <c r="H110" s="129">
        <v>200000</v>
      </c>
      <c r="I110" s="72"/>
      <c r="K110" s="138">
        <f t="shared" si="6"/>
        <v>5621</v>
      </c>
      <c r="M110" s="139">
        <f>H110+ALIMENTARIAS!H110+'INOVACION AGRICOLA'!H110+'SERVICIOS ESCOLARES'!H110+'DESARROLLO ACADEMICO'!H110+VINCULACIÓN!H113+PLANEACION!H110+CALIDAD!H110+'ADMON REC'!H113</f>
        <v>600000</v>
      </c>
    </row>
    <row r="111" spans="1:14" s="73" customFormat="1" x14ac:dyDescent="0.2">
      <c r="A111" s="35">
        <v>5911</v>
      </c>
      <c r="B111" s="35"/>
      <c r="C111" s="60" t="s">
        <v>145</v>
      </c>
      <c r="D111" s="36">
        <f>SUM(E111:H111)</f>
        <v>0</v>
      </c>
      <c r="E111" s="81"/>
      <c r="F111" s="90"/>
      <c r="G111" s="101"/>
      <c r="H111" s="129"/>
      <c r="I111" s="72"/>
      <c r="K111" s="138">
        <f t="shared" si="6"/>
        <v>5911</v>
      </c>
      <c r="M111" s="139">
        <f>H111+ALIMENTARIAS!H111+'INOVACION AGRICOLA'!H111+'SERVICIOS ESCOLARES'!H111+'DESARROLLO ACADEMICO'!H111+VINCULACIÓN!H114+PLANEACION!H111+CALIDAD!H111+'ADMON REC'!H114</f>
        <v>227736.84</v>
      </c>
    </row>
    <row r="112" spans="1:14" s="11" customFormat="1" ht="25.5" x14ac:dyDescent="0.2">
      <c r="A112" s="22"/>
      <c r="B112" s="22"/>
      <c r="C112" s="62" t="s">
        <v>118</v>
      </c>
      <c r="D112" s="23">
        <f>SUM(D108:D111)</f>
        <v>200000</v>
      </c>
      <c r="E112" s="23">
        <f t="shared" ref="E112:G112" si="10">SUM(E111:E111)</f>
        <v>0</v>
      </c>
      <c r="F112" s="23">
        <f t="shared" si="10"/>
        <v>0</v>
      </c>
      <c r="G112" s="23">
        <f t="shared" si="10"/>
        <v>0</v>
      </c>
      <c r="H112" s="23">
        <f>SUM(H108:H111)</f>
        <v>200000</v>
      </c>
      <c r="I112" s="25"/>
      <c r="K112" s="138">
        <f t="shared" si="6"/>
        <v>0</v>
      </c>
      <c r="M112" s="141">
        <f>H112+ALIMENTARIAS!H112+'INOVACION AGRICOLA'!H112+'SERVICIOS ESCOLARES'!H112+'DESARROLLO ACADEMICO'!H112+VINCULACIÓN!H115+PLANEACION!H112+CALIDAD!H112+'ADMON REC'!H115</f>
        <v>1488232.6800000002</v>
      </c>
    </row>
    <row r="113" spans="1:13" x14ac:dyDescent="0.2">
      <c r="A113" s="35"/>
      <c r="B113" s="35"/>
      <c r="C113" s="40"/>
      <c r="D113" s="36"/>
      <c r="E113" s="81"/>
      <c r="F113" s="90"/>
      <c r="G113" s="101"/>
      <c r="H113" s="129"/>
      <c r="I113" s="38"/>
      <c r="K113" s="138">
        <f t="shared" si="6"/>
        <v>0</v>
      </c>
      <c r="M113" s="139">
        <f>H113+ALIMENTARIAS!H113+'INOVACION AGRICOLA'!H113+'SERVICIOS ESCOLARES'!H113+'DESARROLLO ACADEMICO'!H113+VINCULACIÓN!H116+PLANEACION!H113+CALIDAD!H113+'ADMON REC'!H116</f>
        <v>0</v>
      </c>
    </row>
    <row r="114" spans="1:13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38"/>
      <c r="K114" s="138">
        <f t="shared" si="6"/>
        <v>0</v>
      </c>
      <c r="M114" s="139">
        <f>H114+ALIMENTARIAS!H114+'INOVACION AGRICOLA'!H114+'SERVICIOS ESCOLARES'!H114+'DESARROLLO ACADEMICO'!H114+VINCULACIÓN!H117+PLANEACION!H114+CALIDAD!H114+'ADMON REC'!H117</f>
        <v>0</v>
      </c>
    </row>
    <row r="115" spans="1:13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  <c r="K115" s="138">
        <f t="shared" si="6"/>
        <v>0</v>
      </c>
      <c r="M115" s="139">
        <f>H115+ALIMENTARIAS!H115+'INOVACION AGRICOLA'!H115+'SERVICIOS ESCOLARES'!H115+'DESARROLLO ACADEMICO'!H115+VINCULACIÓN!H118+PLANEACION!H115+CALIDAD!H115+'ADMON REC'!H118</f>
        <v>0</v>
      </c>
    </row>
    <row r="116" spans="1:13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  <c r="K116" s="138">
        <f t="shared" si="6"/>
        <v>0</v>
      </c>
      <c r="M116" s="139">
        <f>H116+ALIMENTARIAS!H116+'INOVACION AGRICOLA'!H116+'SERVICIOS ESCOLARES'!H116+'DESARROLLO ACADEMICO'!H116+VINCULACIÓN!H119+PLANEACION!H116+CALIDAD!H116+'ADMON REC'!H119</f>
        <v>0</v>
      </c>
    </row>
    <row r="117" spans="1:13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11">SUM(E115:E116)</f>
        <v>0</v>
      </c>
      <c r="F117" s="23">
        <f t="shared" si="11"/>
        <v>0</v>
      </c>
      <c r="G117" s="23">
        <f t="shared" si="11"/>
        <v>0</v>
      </c>
      <c r="H117" s="23">
        <f t="shared" si="11"/>
        <v>0</v>
      </c>
      <c r="I117" s="25"/>
      <c r="J117" s="26"/>
      <c r="K117" s="138">
        <f t="shared" si="6"/>
        <v>0</v>
      </c>
      <c r="M117" s="139">
        <f>H117+ALIMENTARIAS!H117+'INOVACION AGRICOLA'!H117+'SERVICIOS ESCOLARES'!H117+'DESARROLLO ACADEMICO'!H117+VINCULACIÓN!H120+PLANEACION!H117+CALIDAD!H117+'ADMON REC'!H120</f>
        <v>0</v>
      </c>
    </row>
    <row r="118" spans="1:13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  <c r="K118" s="138">
        <f t="shared" si="6"/>
        <v>0</v>
      </c>
      <c r="M118" s="139">
        <f>H118+ALIMENTARIAS!H118+'INOVACION AGRICOLA'!H118+'SERVICIOS ESCOLARES'!H118+'DESARROLLO ACADEMICO'!H118+VINCULACIÓN!H121+PLANEACION!H118+CALIDAD!H118+'ADMON REC'!H121</f>
        <v>1422991.54</v>
      </c>
    </row>
    <row r="119" spans="1:13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  <c r="K119" s="138">
        <f t="shared" si="6"/>
        <v>0</v>
      </c>
      <c r="M119" s="139">
        <f>H119+ALIMENTARIAS!H119+'INOVACION AGRICOLA'!H119+'SERVICIOS ESCOLARES'!H119+'DESARROLLO ACADEMICO'!H119+VINCULACIÓN!H122+PLANEACION!H119+CALIDAD!H119+'ADMON REC'!H122</f>
        <v>0</v>
      </c>
    </row>
    <row r="120" spans="1:13" s="11" customFormat="1" x14ac:dyDescent="0.2">
      <c r="A120" s="22"/>
      <c r="B120" s="22"/>
      <c r="C120" s="62" t="s">
        <v>120</v>
      </c>
      <c r="D120" s="23">
        <f t="shared" ref="D120:H120" si="12">SUM(D118:D119)</f>
        <v>0</v>
      </c>
      <c r="E120" s="23">
        <f t="shared" si="12"/>
        <v>0</v>
      </c>
      <c r="F120" s="23">
        <f t="shared" si="12"/>
        <v>0</v>
      </c>
      <c r="G120" s="23">
        <f t="shared" si="12"/>
        <v>0</v>
      </c>
      <c r="H120" s="23">
        <f t="shared" si="12"/>
        <v>0</v>
      </c>
      <c r="I120" s="25"/>
      <c r="K120" s="138">
        <f t="shared" si="6"/>
        <v>0</v>
      </c>
      <c r="M120" s="139">
        <f>H120+ALIMENTARIAS!H120+'INOVACION AGRICOLA'!H120+'SERVICIOS ESCOLARES'!H120+'DESARROLLO ACADEMICO'!H120+VINCULACIÓN!H123+PLANEACION!H120+CALIDAD!H120+'ADMON REC'!H123</f>
        <v>0</v>
      </c>
    </row>
    <row r="121" spans="1:13" s="11" customFormat="1" ht="17.25" customHeight="1" x14ac:dyDescent="0.2">
      <c r="A121" s="188"/>
      <c r="B121" s="188"/>
      <c r="C121" s="189" t="s">
        <v>19</v>
      </c>
      <c r="D121" s="190">
        <f t="shared" ref="D121:H121" si="13">SUM(D120,D117,D112,D107,D105,D67,D28)</f>
        <v>905693.87999999989</v>
      </c>
      <c r="E121" s="190">
        <f t="shared" si="13"/>
        <v>296753.24999999994</v>
      </c>
      <c r="F121" s="190">
        <f t="shared" si="13"/>
        <v>284940.63</v>
      </c>
      <c r="G121" s="190">
        <f t="shared" si="13"/>
        <v>43000</v>
      </c>
      <c r="H121" s="190">
        <f t="shared" si="13"/>
        <v>281000</v>
      </c>
      <c r="I121" s="192"/>
      <c r="J121" s="26"/>
      <c r="K121" s="138">
        <f t="shared" si="6"/>
        <v>0</v>
      </c>
      <c r="M121" s="139">
        <f>H121+ALIMENTARIAS!H121+'INOVACION AGRICOLA'!H121+'SERVICIOS ESCOLARES'!H121+'DESARROLLO ACADEMICO'!H121+VINCULACIÓN!H124+PLANEACION!H121+CALIDAD!H121+'ADMON REC'!H124</f>
        <v>3143237.29</v>
      </c>
    </row>
    <row r="122" spans="1:13" x14ac:dyDescent="0.2">
      <c r="D122" s="108"/>
      <c r="E122" s="73"/>
      <c r="F122" s="73"/>
      <c r="G122" s="73"/>
      <c r="H122" s="73"/>
    </row>
    <row r="123" spans="1:13" x14ac:dyDescent="0.2">
      <c r="B123" s="43"/>
      <c r="C123" s="122" t="s">
        <v>142</v>
      </c>
      <c r="D123" s="123"/>
      <c r="E123" s="124" t="s">
        <v>131</v>
      </c>
      <c r="F123" s="124"/>
      <c r="G123" s="124"/>
      <c r="H123" s="124"/>
      <c r="I123" s="43" t="s">
        <v>133</v>
      </c>
    </row>
    <row r="124" spans="1:13" x14ac:dyDescent="0.2">
      <c r="B124" s="43"/>
      <c r="C124" s="122"/>
      <c r="D124" s="123"/>
      <c r="E124" s="124"/>
      <c r="F124" s="124"/>
      <c r="G124" s="124"/>
      <c r="H124" s="124"/>
    </row>
    <row r="125" spans="1:13" x14ac:dyDescent="0.2">
      <c r="B125" s="43"/>
      <c r="C125" s="122" t="s">
        <v>130</v>
      </c>
      <c r="D125" s="123"/>
      <c r="E125" s="124" t="s">
        <v>132</v>
      </c>
      <c r="F125" s="73"/>
      <c r="G125" s="124"/>
      <c r="H125" s="124"/>
      <c r="I125" s="43" t="s">
        <v>143</v>
      </c>
    </row>
    <row r="126" spans="1:13" x14ac:dyDescent="0.2">
      <c r="D126" s="108"/>
      <c r="E126" s="73"/>
      <c r="F126" s="73"/>
      <c r="G126" s="73"/>
      <c r="H126" s="73"/>
    </row>
    <row r="127" spans="1:13" x14ac:dyDescent="0.2">
      <c r="D127" s="108"/>
      <c r="E127" s="73"/>
      <c r="F127" s="73"/>
      <c r="G127" s="73"/>
      <c r="H127" s="73"/>
    </row>
    <row r="128" spans="1:13" x14ac:dyDescent="0.2">
      <c r="C128" s="57" t="s">
        <v>126</v>
      </c>
      <c r="D128" s="108"/>
      <c r="E128" s="73" t="s">
        <v>150</v>
      </c>
      <c r="F128" s="73" t="s">
        <v>151</v>
      </c>
      <c r="G128" s="73" t="s">
        <v>152</v>
      </c>
      <c r="H128" s="73" t="s">
        <v>153</v>
      </c>
    </row>
    <row r="129" spans="3:14" x14ac:dyDescent="0.2">
      <c r="D129" s="108"/>
      <c r="E129" s="73"/>
      <c r="F129" s="73"/>
      <c r="G129" s="115"/>
      <c r="H129" s="73"/>
    </row>
    <row r="130" spans="3:14" x14ac:dyDescent="0.2">
      <c r="C130" s="119">
        <f>G121</f>
        <v>43000</v>
      </c>
      <c r="D130" s="108"/>
      <c r="E130" s="73"/>
      <c r="F130" s="73"/>
      <c r="G130" s="115"/>
      <c r="H130" s="116"/>
      <c r="J130" s="44"/>
    </row>
    <row r="131" spans="3:14" x14ac:dyDescent="0.2">
      <c r="C131" s="119">
        <f>ALIMENTARIAS!G105</f>
        <v>17000</v>
      </c>
      <c r="D131" s="108"/>
      <c r="E131" s="73"/>
      <c r="F131" s="73"/>
      <c r="G131" s="73"/>
      <c r="H131" s="116">
        <f>'remanentes 2012'!D121</f>
        <v>4566228.83</v>
      </c>
      <c r="J131" s="44"/>
    </row>
    <row r="132" spans="3:14" x14ac:dyDescent="0.2">
      <c r="C132" s="119">
        <f>'INOVACION AGRICOLA'!G105</f>
        <v>11000</v>
      </c>
      <c r="D132" s="108"/>
      <c r="E132" s="73"/>
      <c r="F132" s="73"/>
      <c r="G132" s="116"/>
      <c r="H132" s="73"/>
      <c r="J132" s="44" t="s">
        <v>155</v>
      </c>
    </row>
    <row r="133" spans="3:14" x14ac:dyDescent="0.2">
      <c r="C133" s="119">
        <f>'SERVICIOS ESCOLARES'!G105</f>
        <v>23500</v>
      </c>
      <c r="D133" s="108"/>
      <c r="E133" s="73"/>
      <c r="F133" s="73"/>
      <c r="G133" s="116"/>
      <c r="H133" s="116"/>
      <c r="J133" s="44"/>
    </row>
    <row r="134" spans="3:14" x14ac:dyDescent="0.2">
      <c r="C134" s="119">
        <f>'DESARROLLO ACADEMICO'!G105</f>
        <v>62000</v>
      </c>
      <c r="D134" s="108"/>
      <c r="E134" s="73"/>
      <c r="F134" s="73"/>
      <c r="G134" s="73"/>
      <c r="H134" s="73" t="s">
        <v>166</v>
      </c>
      <c r="J134" s="44" t="s">
        <v>156</v>
      </c>
      <c r="K134" s="44">
        <f>H121</f>
        <v>281000</v>
      </c>
    </row>
    <row r="135" spans="3:14" x14ac:dyDescent="0.2">
      <c r="C135" s="119">
        <f>VINCULACIÓN!G105</f>
        <v>545000</v>
      </c>
      <c r="D135" s="108"/>
      <c r="E135" s="73"/>
      <c r="F135" s="73"/>
      <c r="G135" s="73"/>
      <c r="H135" s="73"/>
      <c r="J135" s="44" t="s">
        <v>157</v>
      </c>
      <c r="K135" s="44">
        <f>ALIMENTARIAS!H121</f>
        <v>217000</v>
      </c>
    </row>
    <row r="136" spans="3:14" x14ac:dyDescent="0.2">
      <c r="C136" s="119">
        <f>PLANEACION!G105</f>
        <v>14000</v>
      </c>
      <c r="D136" s="108"/>
      <c r="E136" s="73"/>
      <c r="F136" s="73"/>
      <c r="G136" s="116"/>
      <c r="H136" s="116">
        <f>K149</f>
        <v>4566228.83</v>
      </c>
      <c r="J136" s="44" t="s">
        <v>158</v>
      </c>
      <c r="K136" s="44">
        <f>'INOVACION AGRICOLA'!H121</f>
        <v>233000</v>
      </c>
    </row>
    <row r="137" spans="3:14" x14ac:dyDescent="0.2">
      <c r="C137" s="119">
        <f>CALIDAD!G105</f>
        <v>75000</v>
      </c>
      <c r="D137" s="108"/>
      <c r="E137" s="73"/>
      <c r="F137" s="116"/>
      <c r="G137" s="73"/>
      <c r="H137" s="73"/>
      <c r="J137" s="212" t="s">
        <v>159</v>
      </c>
      <c r="K137" s="212">
        <f>'SERVICIOS ESCOLARES'!H121</f>
        <v>530029.26</v>
      </c>
    </row>
    <row r="138" spans="3:14" x14ac:dyDescent="0.2">
      <c r="C138" s="119">
        <f>'ADMON REC'!G105</f>
        <v>167000</v>
      </c>
      <c r="D138" s="108"/>
      <c r="E138" s="73"/>
      <c r="F138" s="73"/>
      <c r="G138" s="73"/>
      <c r="H138" s="73"/>
      <c r="J138" s="44" t="s">
        <v>128</v>
      </c>
      <c r="K138" s="44">
        <f>'DESARROLLO ACADEMICO'!H121</f>
        <v>1240712.19</v>
      </c>
    </row>
    <row r="139" spans="3:14" x14ac:dyDescent="0.2">
      <c r="D139" s="108"/>
      <c r="E139" s="73"/>
      <c r="F139" s="73"/>
      <c r="G139" s="73" t="s">
        <v>167</v>
      </c>
      <c r="H139" s="116">
        <f>H131-H136</f>
        <v>0</v>
      </c>
      <c r="J139" s="44"/>
      <c r="L139" s="2" t="s">
        <v>160</v>
      </c>
      <c r="N139" s="44">
        <f>SUM(K134:K138)</f>
        <v>2501741.4500000002</v>
      </c>
    </row>
    <row r="140" spans="3:14" x14ac:dyDescent="0.2">
      <c r="D140" s="108"/>
      <c r="E140" s="73"/>
      <c r="F140" s="73"/>
      <c r="G140" s="73"/>
      <c r="H140" s="73"/>
      <c r="J140" s="44"/>
      <c r="L140" s="2" t="s">
        <v>161</v>
      </c>
      <c r="N140" s="44">
        <f>'ACADEMICO TOTALIZADO'!H121</f>
        <v>2501741.4499999997</v>
      </c>
    </row>
    <row r="141" spans="3:14" x14ac:dyDescent="0.2">
      <c r="C141" s="119">
        <f>SUM(C130:C140)</f>
        <v>957500</v>
      </c>
      <c r="D141" s="108"/>
      <c r="E141" s="73"/>
      <c r="F141" s="73"/>
      <c r="G141" s="73"/>
      <c r="H141" s="73"/>
      <c r="J141" s="44"/>
    </row>
    <row r="142" spans="3:14" x14ac:dyDescent="0.2">
      <c r="D142" s="108"/>
      <c r="E142" s="73"/>
      <c r="F142" s="73"/>
      <c r="G142" s="73"/>
      <c r="H142" s="73"/>
      <c r="J142" s="44"/>
    </row>
    <row r="143" spans="3:14" x14ac:dyDescent="0.2">
      <c r="D143" s="108"/>
      <c r="E143" s="73"/>
      <c r="F143" s="73"/>
      <c r="G143" s="73"/>
      <c r="H143" s="73"/>
      <c r="J143" s="44" t="s">
        <v>162</v>
      </c>
      <c r="K143" s="44">
        <f>VINCULACIÓN!H121</f>
        <v>256000</v>
      </c>
    </row>
    <row r="144" spans="3:14" x14ac:dyDescent="0.2">
      <c r="D144" s="108"/>
      <c r="E144" s="73"/>
      <c r="F144" s="73"/>
      <c r="G144" s="73"/>
      <c r="H144" s="73"/>
      <c r="J144" s="44" t="s">
        <v>163</v>
      </c>
      <c r="K144" s="44">
        <f>PLANEACION!H118</f>
        <v>338736.83999999997</v>
      </c>
    </row>
    <row r="145" spans="3:14" x14ac:dyDescent="0.2">
      <c r="D145" s="108"/>
      <c r="E145" s="73"/>
      <c r="F145" s="73"/>
      <c r="G145" s="116"/>
      <c r="H145" s="73"/>
      <c r="J145" s="44" t="s">
        <v>164</v>
      </c>
      <c r="K145" s="44">
        <f>CALIDAD!H121</f>
        <v>641495.84000000008</v>
      </c>
    </row>
    <row r="146" spans="3:14" x14ac:dyDescent="0.2">
      <c r="D146" s="108"/>
      <c r="E146" s="73"/>
      <c r="F146" s="73"/>
      <c r="G146" s="73"/>
      <c r="H146" s="73"/>
      <c r="J146" s="44" t="s">
        <v>165</v>
      </c>
      <c r="K146" s="44">
        <f>'ADMON REC'!H121</f>
        <v>828254.7</v>
      </c>
      <c r="N146" s="44">
        <f>N140-N139</f>
        <v>0</v>
      </c>
    </row>
    <row r="147" spans="3:14" x14ac:dyDescent="0.2">
      <c r="D147" s="108"/>
      <c r="E147" s="73"/>
      <c r="F147" s="73"/>
      <c r="G147" s="116"/>
      <c r="H147" s="73"/>
      <c r="J147" s="44"/>
    </row>
    <row r="148" spans="3:14" x14ac:dyDescent="0.2">
      <c r="D148" s="108"/>
      <c r="E148" s="73"/>
      <c r="F148" s="73"/>
      <c r="G148" s="73"/>
      <c r="H148" s="73"/>
      <c r="J148" s="44"/>
    </row>
    <row r="149" spans="3:14" x14ac:dyDescent="0.2">
      <c r="D149" s="108"/>
      <c r="E149" s="73"/>
      <c r="F149" s="73"/>
      <c r="G149" s="73"/>
      <c r="H149" s="73"/>
      <c r="J149" s="44"/>
      <c r="K149" s="44">
        <f>SUM(K134:K146)</f>
        <v>4566228.83</v>
      </c>
    </row>
    <row r="150" spans="3:14" x14ac:dyDescent="0.2">
      <c r="D150" s="108"/>
      <c r="E150" s="73"/>
      <c r="F150" s="73"/>
      <c r="G150" s="116"/>
      <c r="H150" s="73"/>
      <c r="J150" s="44"/>
    </row>
    <row r="151" spans="3:14" x14ac:dyDescent="0.2">
      <c r="D151" s="108"/>
      <c r="E151" s="73"/>
      <c r="F151" s="73"/>
      <c r="G151" s="73"/>
      <c r="H151" s="73"/>
      <c r="J151" s="44"/>
      <c r="K151" s="44"/>
    </row>
    <row r="152" spans="3:14" x14ac:dyDescent="0.2">
      <c r="D152" s="108"/>
      <c r="E152" s="73"/>
      <c r="F152" s="73"/>
      <c r="G152" s="116"/>
      <c r="H152" s="73"/>
      <c r="J152" s="44"/>
    </row>
    <row r="153" spans="3:14" x14ac:dyDescent="0.2">
      <c r="D153" s="108"/>
      <c r="E153" s="73"/>
      <c r="F153" s="73"/>
      <c r="G153" s="73"/>
      <c r="H153" s="73"/>
    </row>
    <row r="154" spans="3:14" x14ac:dyDescent="0.2">
      <c r="D154" s="108"/>
      <c r="E154" s="73"/>
      <c r="F154" s="73"/>
      <c r="H154" s="73"/>
      <c r="K154" s="44">
        <f>SUM(K149:K151)</f>
        <v>4566228.83</v>
      </c>
    </row>
    <row r="155" spans="3:14" x14ac:dyDescent="0.2">
      <c r="D155" s="108"/>
      <c r="E155" s="73"/>
      <c r="F155" s="73"/>
      <c r="G155" s="73"/>
      <c r="H155" s="73"/>
    </row>
    <row r="156" spans="3:14" x14ac:dyDescent="0.2">
      <c r="D156" s="108" t="s">
        <v>170</v>
      </c>
      <c r="E156" s="73" t="s">
        <v>172</v>
      </c>
      <c r="F156" s="73" t="s">
        <v>125</v>
      </c>
      <c r="G156" s="73" t="s">
        <v>126</v>
      </c>
      <c r="H156" s="73"/>
      <c r="I156" s="4">
        <v>3331</v>
      </c>
      <c r="J156" s="44">
        <f>H78+ALIMENTARIAS!H78+'INOVACION AGRICOLA'!H78+'SERVICIOS ESCOLARES'!H78+'DESARROLLO ACADEMICO'!H78+VINCULACIÓN!H78+PLANEACION!H78+CALIDAD!H78+'ADMON REC'!H78</f>
        <v>115080</v>
      </c>
      <c r="K156" s="46"/>
    </row>
    <row r="157" spans="3:14" x14ac:dyDescent="0.2">
      <c r="D157" s="108"/>
      <c r="E157" s="73"/>
      <c r="F157" s="73"/>
      <c r="G157" s="73"/>
      <c r="H157" s="73"/>
      <c r="I157" s="2">
        <v>3572</v>
      </c>
      <c r="J157" s="44">
        <f>H93+ALIMENTARIAS!H93+'INOVACION AGRICOLA'!H93+'SERVICIOS ESCOLARES'!H93+'DESARROLLO ACADEMICO'!H93+VINCULACIÓN!H93+PLANEACION!H93+CALIDAD!H93+'ADMON REC'!H93</f>
        <v>65000</v>
      </c>
    </row>
    <row r="158" spans="3:14" x14ac:dyDescent="0.2">
      <c r="C158" s="57" t="s">
        <v>171</v>
      </c>
      <c r="D158" s="108">
        <f>D121+ALIMENTARIAS!D121+'INOVACION AGRICOLA'!D121+'SERVICIOS ESCOLARES'!D121+'DESARROLLO ACADEMICO'!D121+VINCULACIÓN!D121+PLANEACION!D118+CALIDAD!D121+'ADMON REC'!D121</f>
        <v>22282958.440000001</v>
      </c>
      <c r="E158" s="108">
        <f>E121+ALIMENTARIAS!E121+'INOVACION AGRICOLA'!E121+'SERVICIOS ESCOLARES'!E121+'DESARROLLO ACADEMICO'!E121+VINCULACIÓN!E121+PLANEACION!E118+CALIDAD!E121+'ADMON REC'!E121</f>
        <v>8300946.1900000004</v>
      </c>
      <c r="F158" s="108">
        <f>F121+ALIMENTARIAS!F121+'INOVACION AGRICOLA'!F121+'SERVICIOS ESCOLARES'!F121+'DESARROLLO ACADEMICO'!F121+VINCULACIÓN!F121+PLANEACION!F118+CALIDAD!F121+'ADMON REC'!F121</f>
        <v>8088899.5300000012</v>
      </c>
      <c r="G158" s="108">
        <f>G121+ALIMENTARIAS!G121+'INOVACION AGRICOLA'!G121+'SERVICIOS ESCOLARES'!G121+'DESARROLLO ACADEMICO'!G121+VINCULACIÓN!G121+PLANEACION!G118+CALIDAD!G121+'ADMON REC'!G121</f>
        <v>1168110.76</v>
      </c>
      <c r="H158" s="108"/>
      <c r="I158" s="4">
        <v>3791</v>
      </c>
      <c r="J158" s="44">
        <f>H100+ALIMENTARIAS!H100+'INOVACION AGRICOLA'!H100+'SERVICIOS ESCOLARES'!H100+'DESARROLLO ACADEMICO'!H100+VINCULACIÓN!H100+PLANEACION!H100+CALIDAD!H100+'ADMON REC'!H100</f>
        <v>60000</v>
      </c>
      <c r="K158" s="44"/>
    </row>
    <row r="159" spans="3:14" x14ac:dyDescent="0.2">
      <c r="D159" s="108"/>
      <c r="E159" s="73"/>
      <c r="F159" s="73"/>
      <c r="G159" s="73"/>
      <c r="H159" s="73"/>
      <c r="I159" s="4">
        <v>3822</v>
      </c>
      <c r="J159" s="44">
        <f>H102+ALIMENTARIAS!H102+'INOVACION AGRICOLA'!H102+'SERVICIOS ESCOLARES'!H102+'DESARROLLO ACADEMICO'!H102+VINCULACIÓN!H102+PLANEACION!H102+CALIDAD!H102+'ADMON REC'!H102</f>
        <v>94069.74</v>
      </c>
    </row>
    <row r="160" spans="3:14" x14ac:dyDescent="0.2">
      <c r="C160" s="57" t="s">
        <v>173</v>
      </c>
      <c r="D160" s="108">
        <f>'PRES. TOTAL CALENARIZADA 2013'!D28</f>
        <v>14527911.48</v>
      </c>
      <c r="E160" s="108">
        <f>'Presupuestacion estatal'!D28</f>
        <v>7027311.4100000001</v>
      </c>
      <c r="F160" s="116">
        <f>'Presupuestacion federal'!D28</f>
        <v>6582741.5300000003</v>
      </c>
      <c r="G160" s="116"/>
      <c r="H160" s="73"/>
      <c r="I160" s="4">
        <v>5911</v>
      </c>
      <c r="J160" s="44">
        <f>H111+ALIMENTARIAS!H111+'INOVACION AGRICOLA'!H111+'SERVICIOS ESCOLARES'!H111+'DESARROLLO ACADEMICO'!H111+VINCULACIÓN!H111+PLANEACION!H111+CALIDAD!H111+'ADMON REC'!H111</f>
        <v>227736.84</v>
      </c>
    </row>
    <row r="161" spans="3:13" x14ac:dyDescent="0.2">
      <c r="D161" s="108"/>
      <c r="E161" s="73"/>
      <c r="F161" s="73"/>
      <c r="G161" s="73"/>
      <c r="H161" s="73"/>
      <c r="I161" s="4">
        <v>3391</v>
      </c>
      <c r="J161" s="44">
        <f>H84+ALIMENTARIAS!H84+'INOVACION AGRICOLA'!H84+'SERVICIOS ESCOLARES'!H84+'DESARROLLO ACADEMICO'!H84+VINCULACIÓN!H84+PLANEACION!H84+CALIDAD!H84+'ADMON REC'!H84</f>
        <v>380000</v>
      </c>
      <c r="K161" s="210">
        <v>4566228.7300000004</v>
      </c>
    </row>
    <row r="162" spans="3:13" x14ac:dyDescent="0.2">
      <c r="D162" s="108"/>
      <c r="E162" s="73"/>
      <c r="F162" s="73"/>
      <c r="G162" s="73"/>
      <c r="H162" s="73"/>
    </row>
    <row r="163" spans="3:13" x14ac:dyDescent="0.2">
      <c r="C163" s="57" t="s">
        <v>175</v>
      </c>
      <c r="D163" s="108">
        <f>SUM(D157:D160)</f>
        <v>36810869.920000002</v>
      </c>
      <c r="E163" s="108">
        <f>SUM(E157:E160)</f>
        <v>15328257.600000001</v>
      </c>
      <c r="F163" s="108">
        <f>SUM(F157:F160)</f>
        <v>14671641.060000002</v>
      </c>
      <c r="G163" s="116"/>
      <c r="H163" s="116"/>
      <c r="K163" s="44">
        <f>K161-K154</f>
        <v>-9.999999962747097E-2</v>
      </c>
      <c r="M163" s="2" t="s">
        <v>212</v>
      </c>
    </row>
    <row r="164" spans="3:13" x14ac:dyDescent="0.2">
      <c r="D164" s="108"/>
      <c r="E164" s="73"/>
      <c r="F164" s="73"/>
      <c r="G164" s="73"/>
      <c r="H164" s="73"/>
    </row>
    <row r="165" spans="3:13" x14ac:dyDescent="0.2">
      <c r="C165" s="57" t="s">
        <v>176</v>
      </c>
      <c r="D165" s="108">
        <f>'PRES. TOTAL CALENARIZADA 2013'!D121</f>
        <v>22282958.439999998</v>
      </c>
      <c r="E165" s="73"/>
      <c r="F165" s="73"/>
      <c r="G165" s="73"/>
      <c r="H165" s="73"/>
    </row>
    <row r="166" spans="3:13" x14ac:dyDescent="0.2">
      <c r="D166" s="108"/>
      <c r="E166" s="73"/>
      <c r="F166" s="73"/>
      <c r="G166" s="73"/>
      <c r="H166" s="73"/>
    </row>
    <row r="167" spans="3:13" x14ac:dyDescent="0.2">
      <c r="D167" s="108"/>
      <c r="E167" s="73"/>
      <c r="F167" s="73"/>
      <c r="G167" s="73"/>
      <c r="H167" s="73"/>
    </row>
    <row r="168" spans="3:13" x14ac:dyDescent="0.2">
      <c r="C168" s="57" t="s">
        <v>174</v>
      </c>
      <c r="D168" s="108">
        <f>D163-D165</f>
        <v>14527911.480000004</v>
      </c>
      <c r="E168" s="108">
        <f>'Presupuestacion estatal'!D121-ELECTROMECANICA!E163</f>
        <v>-6947311.4100000011</v>
      </c>
      <c r="F168" s="108">
        <f>'Presupuestacion federal'!D121-ELECTROMECANICA!F163</f>
        <v>-6582741.5300000021</v>
      </c>
      <c r="G168" s="116"/>
      <c r="H168" s="146"/>
    </row>
    <row r="169" spans="3:13" x14ac:dyDescent="0.2">
      <c r="D169" s="108"/>
      <c r="E169" s="73"/>
      <c r="F169" s="73"/>
      <c r="G169" s="73"/>
      <c r="H169" s="73"/>
    </row>
    <row r="170" spans="3:13" x14ac:dyDescent="0.2">
      <c r="D170" s="108"/>
      <c r="E170" s="73"/>
      <c r="F170" s="73"/>
      <c r="G170" s="73"/>
      <c r="H170" s="73"/>
    </row>
    <row r="171" spans="3:13" x14ac:dyDescent="0.2">
      <c r="D171" s="108"/>
      <c r="E171" s="73"/>
      <c r="F171" s="73"/>
      <c r="G171" s="73"/>
      <c r="H171" s="73"/>
    </row>
    <row r="172" spans="3:13" x14ac:dyDescent="0.2">
      <c r="D172" s="108"/>
      <c r="E172" s="73"/>
      <c r="F172" s="73"/>
      <c r="G172" s="73"/>
      <c r="H172" s="73"/>
    </row>
    <row r="173" spans="3:13" x14ac:dyDescent="0.2">
      <c r="D173" s="108"/>
      <c r="E173" s="73"/>
      <c r="F173" s="73"/>
      <c r="G173" s="73"/>
      <c r="H173" s="73"/>
    </row>
    <row r="174" spans="3:13" x14ac:dyDescent="0.2">
      <c r="D174" s="108"/>
      <c r="E174" s="73"/>
      <c r="F174" s="73"/>
      <c r="G174" s="73"/>
      <c r="H174" s="73"/>
    </row>
    <row r="175" spans="3:13" x14ac:dyDescent="0.2">
      <c r="D175" s="108"/>
      <c r="E175" s="73"/>
      <c r="F175" s="73"/>
      <c r="G175" s="73"/>
      <c r="H175" s="73"/>
    </row>
    <row r="176" spans="3:13" x14ac:dyDescent="0.2">
      <c r="D176" s="108"/>
      <c r="E176" s="73"/>
      <c r="F176" s="73"/>
      <c r="G176" s="73"/>
      <c r="H176" s="73"/>
    </row>
    <row r="177" spans="3:9" x14ac:dyDescent="0.2">
      <c r="D177" s="108"/>
      <c r="E177" s="73"/>
      <c r="F177" s="73"/>
      <c r="G177" s="73"/>
      <c r="H177" s="73"/>
    </row>
    <row r="178" spans="3:9" x14ac:dyDescent="0.2">
      <c r="D178" s="108"/>
      <c r="E178" s="73"/>
      <c r="F178" s="73"/>
      <c r="G178" s="73"/>
      <c r="H178" s="73"/>
    </row>
    <row r="179" spans="3:9" ht="60" x14ac:dyDescent="0.2">
      <c r="C179" s="157">
        <v>3541</v>
      </c>
      <c r="D179" s="64"/>
      <c r="E179" s="49" t="s">
        <v>102</v>
      </c>
      <c r="F179" s="156">
        <v>6000</v>
      </c>
      <c r="G179" s="158">
        <f>G90+ALIMENTARIAS!G90+'INOVACION AGRICOLA'!G90+'SERVICIOS ESCOLARES'!G90+'DESARROLLO ACADEMICO'!G90+VINCULACIÓN!G90+PLANEACION!G90+CALIDAD!G90+'ADMON REC'!G90</f>
        <v>6000</v>
      </c>
      <c r="H179" s="73"/>
    </row>
    <row r="180" spans="3:9" ht="36" x14ac:dyDescent="0.2">
      <c r="C180" s="157">
        <v>3551</v>
      </c>
      <c r="D180" s="64"/>
      <c r="E180" s="49" t="s">
        <v>103</v>
      </c>
      <c r="F180" s="161">
        <v>71000</v>
      </c>
      <c r="G180" s="162">
        <f>G91+ALIMENTARIAS!G91+'INOVACION AGRICOLA'!G91+'SERVICIOS ESCOLARES'!G91+'DESARROLLO ACADEMICO'!G91+VINCULACIÓN!G91+PLANEACION!G91+CALIDAD!G91+'ADMON REC'!G91</f>
        <v>91000</v>
      </c>
      <c r="H180" s="73"/>
    </row>
    <row r="181" spans="3:9" ht="48" x14ac:dyDescent="0.2">
      <c r="C181" s="157">
        <v>3571</v>
      </c>
      <c r="D181" s="64"/>
      <c r="E181" s="49" t="s">
        <v>104</v>
      </c>
      <c r="F181" s="163">
        <v>6000</v>
      </c>
      <c r="G181" s="164">
        <f>G92+ALIMENTARIAS!G92+'INOVACION AGRICOLA'!G92+'SERVICIOS ESCOLARES'!G92+'DESARROLLO ACADEMICO'!G92+VINCULACIÓN!G92+PLANEACION!G92+CALIDAD!G92+'ADMON REC'!G92</f>
        <v>6000</v>
      </c>
      <c r="H181" s="73"/>
    </row>
    <row r="182" spans="3:9" ht="48" x14ac:dyDescent="0.2">
      <c r="C182" s="157">
        <v>3572</v>
      </c>
      <c r="D182" s="64"/>
      <c r="E182" s="49" t="s">
        <v>105</v>
      </c>
      <c r="F182" s="163">
        <v>6000</v>
      </c>
      <c r="G182" s="164">
        <f>G93+ALIMENTARIAS!G93+'INOVACION AGRICOLA'!G93+'SERVICIOS ESCOLARES'!G93+'DESARROLLO ACADEMICO'!G93+VINCULACIÓN!G93+PLANEACION!G93+CALIDAD!G93+'ADMON REC'!G93</f>
        <v>6000</v>
      </c>
      <c r="H182" s="73"/>
    </row>
    <row r="183" spans="3:9" ht="24" x14ac:dyDescent="0.2">
      <c r="C183" s="54">
        <v>3581</v>
      </c>
      <c r="D183" s="64"/>
      <c r="E183" s="49" t="s">
        <v>106</v>
      </c>
      <c r="F183" s="61">
        <v>30000</v>
      </c>
      <c r="G183" s="159">
        <f>G94+ALIMENTARIAS!G94+'INOVACION AGRICOLA'!G94+'SERVICIOS ESCOLARES'!G94+'DESARROLLO ACADEMICO'!G94+VINCULACIÓN!G94+PLANEACION!G94+CALIDAD!G94+'ADMON REC'!G94</f>
        <v>30000</v>
      </c>
      <c r="H183" s="73"/>
    </row>
    <row r="184" spans="3:9" ht="24" x14ac:dyDescent="0.2">
      <c r="C184" s="168">
        <v>3591</v>
      </c>
      <c r="D184" s="166"/>
      <c r="E184" s="167" t="s">
        <v>107</v>
      </c>
      <c r="F184" s="163">
        <v>6000</v>
      </c>
      <c r="G184" s="164">
        <f>G95+ALIMENTARIAS!G95+'INOVACION AGRICOLA'!G95+'SERVICIOS ESCOLARES'!G95+'DESARROLLO ACADEMICO'!G95+VINCULACIÓN!G95+PLANEACION!G95+CALIDAD!G95+'ADMON REC'!G95</f>
        <v>6000</v>
      </c>
      <c r="H184" s="73"/>
    </row>
    <row r="185" spans="3:9" ht="72" x14ac:dyDescent="0.2">
      <c r="C185" s="54">
        <v>3621</v>
      </c>
      <c r="D185" s="64"/>
      <c r="E185" s="49" t="s">
        <v>108</v>
      </c>
      <c r="F185" s="61">
        <v>340000</v>
      </c>
      <c r="G185" s="159">
        <f>G96+ALIMENTARIAS!G96+'INOVACION AGRICOLA'!G96+'SERVICIOS ESCOLARES'!G96+'DESARROLLO ACADEMICO'!G96+VINCULACIÓN!G96+PLANEACION!G96+CALIDAD!G96+'ADMON REC'!G96</f>
        <v>355000</v>
      </c>
      <c r="H185" s="73"/>
      <c r="I185" s="43" t="s">
        <v>178</v>
      </c>
    </row>
    <row r="186" spans="3:9" ht="14.25" x14ac:dyDescent="0.2">
      <c r="C186" s="54">
        <v>3711</v>
      </c>
      <c r="D186" s="64"/>
      <c r="E186" s="49" t="s">
        <v>109</v>
      </c>
      <c r="F186" s="61">
        <v>35000</v>
      </c>
      <c r="G186" s="159">
        <f>G97+ALIMENTARIAS!G97+'INOVACION AGRICOLA'!G97+'SERVICIOS ESCOLARES'!G97+'DESARROLLO ACADEMICO'!G97+VINCULACIÓN!G97+PLANEACION!G97+CALIDAD!G97+'ADMON REC'!G97</f>
        <v>35000</v>
      </c>
      <c r="H186" s="73"/>
    </row>
    <row r="187" spans="3:9" ht="14.25" x14ac:dyDescent="0.2">
      <c r="C187" s="157">
        <v>3721</v>
      </c>
      <c r="D187" s="64"/>
      <c r="E187" s="49" t="s">
        <v>110</v>
      </c>
      <c r="F187" s="61">
        <v>15000</v>
      </c>
      <c r="G187" s="159">
        <f>G98+ALIMENTARIAS!G98+'INOVACION AGRICOLA'!G98+'SERVICIOS ESCOLARES'!G98+'DESARROLLO ACADEMICO'!G98+VINCULACIÓN!G98+PLANEACION!G98+CALIDAD!G98+'ADMON REC'!G98</f>
        <v>27000</v>
      </c>
      <c r="H187" s="73"/>
    </row>
    <row r="188" spans="3:9" ht="14.25" x14ac:dyDescent="0.2">
      <c r="C188" s="157">
        <v>3751</v>
      </c>
      <c r="D188" s="64"/>
      <c r="E188" s="49" t="s">
        <v>111</v>
      </c>
      <c r="F188" s="163">
        <v>100000</v>
      </c>
      <c r="G188" s="164">
        <f>G99+ALIMENTARIAS!G99+'INOVACION AGRICOLA'!G99+'SERVICIOS ESCOLARES'!G99+'DESARROLLO ACADEMICO'!G99+VINCULACIÓN!G99+PLANEACION!G99+CALIDAD!G99+'ADMON REC'!G99</f>
        <v>140000</v>
      </c>
      <c r="H188" s="73"/>
    </row>
    <row r="189" spans="3:9" ht="14.25" x14ac:dyDescent="0.2">
      <c r="C189" s="54">
        <v>3791</v>
      </c>
      <c r="D189" s="64"/>
      <c r="E189" s="49" t="s">
        <v>112</v>
      </c>
      <c r="F189" s="61">
        <v>50000</v>
      </c>
      <c r="G189" s="159">
        <f>G100+ALIMENTARIAS!G100+'INOVACION AGRICOLA'!G100+'SERVICIOS ESCOLARES'!G100+'DESARROLLO ACADEMICO'!G100+VINCULACIÓN!G100+PLANEACION!G100+CALIDAD!G100+'ADMON REC'!G100</f>
        <v>100000</v>
      </c>
      <c r="H189" s="73"/>
    </row>
    <row r="190" spans="3:9" ht="24" x14ac:dyDescent="0.2">
      <c r="C190" s="54">
        <v>3821</v>
      </c>
      <c r="D190" s="64"/>
      <c r="E190" s="49" t="s">
        <v>113</v>
      </c>
      <c r="F190" s="61">
        <v>20000</v>
      </c>
      <c r="G190" s="159">
        <f>G101+ALIMENTARIAS!G101+'INOVACION AGRICOLA'!G101+'SERVICIOS ESCOLARES'!G101+'DESARROLLO ACADEMICO'!G101+VINCULACIÓN!G101+PLANEACION!G101+CALIDAD!G101+'ADMON REC'!G101</f>
        <v>70000</v>
      </c>
      <c r="H190" s="73"/>
    </row>
    <row r="191" spans="3:9" ht="24" x14ac:dyDescent="0.2">
      <c r="C191" s="54">
        <v>3822</v>
      </c>
      <c r="D191" s="64"/>
      <c r="E191" s="49" t="s">
        <v>114</v>
      </c>
      <c r="F191" s="61">
        <v>30000</v>
      </c>
      <c r="G191" s="159">
        <f>G102+ALIMENTARIAS!G102+'INOVACION AGRICOLA'!G102+'SERVICIOS ESCOLARES'!G102+'DESARROLLO ACADEMICO'!G102+VINCULACIÓN!G102+PLANEACION!G102+CALIDAD!G102+'ADMON REC'!G102</f>
        <v>41000</v>
      </c>
      <c r="H191" s="73"/>
    </row>
    <row r="192" spans="3:9" ht="24" x14ac:dyDescent="0.2">
      <c r="C192" s="165">
        <v>3792</v>
      </c>
      <c r="D192" s="166"/>
      <c r="E192" s="167" t="s">
        <v>115</v>
      </c>
      <c r="F192" s="163">
        <v>40000</v>
      </c>
      <c r="G192" s="159">
        <f>G103+ALIMENTARIAS!G103+'INOVACION AGRICOLA'!G103+'SERVICIOS ESCOLARES'!G103+'DESARROLLO ACADEMICO'!G103+VINCULACIÓN!G103+PLANEACION!G103+CALIDAD!G103+'ADMON REC'!G103</f>
        <v>40000</v>
      </c>
      <c r="H192" s="73"/>
    </row>
    <row r="193" spans="3:8" ht="14.25" x14ac:dyDescent="0.2">
      <c r="C193" s="157">
        <v>3921</v>
      </c>
      <c r="D193" s="64"/>
      <c r="E193" s="49" t="s">
        <v>116</v>
      </c>
      <c r="F193" s="163">
        <v>4500</v>
      </c>
      <c r="G193" s="164">
        <f>G104+ALIMENTARIAS!G104+'INOVACION AGRICOLA'!G104+'SERVICIOS ESCOLARES'!G104+'DESARROLLO ACADEMICO'!G104+VINCULACIÓN!G104+PLANEACION!G104+CALIDAD!G104+'ADMON REC'!G104</f>
        <v>4500</v>
      </c>
      <c r="H193" s="73"/>
    </row>
    <row r="194" spans="3:8" x14ac:dyDescent="0.2">
      <c r="D194" s="108"/>
      <c r="E194" s="73"/>
      <c r="F194" s="73"/>
      <c r="G194" s="73"/>
      <c r="H194" s="73"/>
    </row>
    <row r="195" spans="3:8" x14ac:dyDescent="0.2">
      <c r="D195" s="108"/>
      <c r="E195" s="73"/>
      <c r="F195" s="116">
        <f>SUM(F179:F194)</f>
        <v>759500</v>
      </c>
      <c r="G195" s="116">
        <f>SUM(G179:G194)</f>
        <v>957500</v>
      </c>
      <c r="H195" s="73"/>
    </row>
    <row r="196" spans="3:8" x14ac:dyDescent="0.2">
      <c r="D196" s="108"/>
      <c r="E196" s="73"/>
      <c r="F196" s="73"/>
      <c r="G196" s="73"/>
      <c r="H196" s="73"/>
    </row>
    <row r="197" spans="3:8" x14ac:dyDescent="0.2">
      <c r="D197" s="108"/>
      <c r="E197" s="73"/>
      <c r="F197" s="73"/>
      <c r="G197" s="73"/>
      <c r="H197" s="73"/>
    </row>
    <row r="198" spans="3:8" x14ac:dyDescent="0.2">
      <c r="D198" s="108"/>
      <c r="E198" s="73"/>
      <c r="F198" s="73"/>
      <c r="G198" s="73"/>
      <c r="H198" s="73"/>
    </row>
    <row r="199" spans="3:8" x14ac:dyDescent="0.2">
      <c r="D199" s="108"/>
      <c r="E199" s="73"/>
      <c r="F199" s="73"/>
      <c r="G199" s="73"/>
      <c r="H199" s="73"/>
    </row>
    <row r="200" spans="3:8" x14ac:dyDescent="0.2">
      <c r="D200" s="108"/>
      <c r="E200" s="73"/>
      <c r="F200" s="73"/>
      <c r="G200" s="73"/>
      <c r="H200" s="73"/>
    </row>
    <row r="201" spans="3:8" x14ac:dyDescent="0.2">
      <c r="D201" s="108"/>
      <c r="E201" s="73"/>
      <c r="F201" s="73"/>
      <c r="G201" s="73"/>
      <c r="H201" s="73"/>
    </row>
    <row r="202" spans="3:8" x14ac:dyDescent="0.2">
      <c r="D202" s="108"/>
      <c r="E202" s="73"/>
      <c r="F202" s="73"/>
      <c r="G202" s="73"/>
      <c r="H202" s="73"/>
    </row>
    <row r="203" spans="3:8" x14ac:dyDescent="0.2">
      <c r="D203" s="108"/>
      <c r="E203" s="73"/>
      <c r="F203" s="73"/>
      <c r="G203" s="73"/>
      <c r="H203" s="73"/>
    </row>
    <row r="204" spans="3:8" x14ac:dyDescent="0.2">
      <c r="D204" s="108"/>
      <c r="E204" s="73"/>
      <c r="F204" s="73"/>
      <c r="G204" s="73"/>
      <c r="H204" s="73"/>
    </row>
    <row r="205" spans="3:8" x14ac:dyDescent="0.2">
      <c r="D205" s="108"/>
      <c r="E205" s="73"/>
      <c r="F205" s="73"/>
      <c r="G205" s="73"/>
      <c r="H205" s="73"/>
    </row>
    <row r="206" spans="3:8" x14ac:dyDescent="0.2">
      <c r="D206" s="108"/>
      <c r="E206" s="73"/>
      <c r="F206" s="73"/>
      <c r="G206" s="73"/>
      <c r="H206" s="73"/>
    </row>
    <row r="207" spans="3:8" x14ac:dyDescent="0.2">
      <c r="D207" s="108"/>
      <c r="E207" s="73"/>
      <c r="F207" s="73"/>
      <c r="G207" s="73"/>
      <c r="H207" s="73"/>
    </row>
    <row r="208" spans="3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J13:J27"/>
    <mergeCell ref="A107:C107"/>
    <mergeCell ref="C6:H8"/>
    <mergeCell ref="A11:A12"/>
    <mergeCell ref="B11:B12"/>
    <mergeCell ref="C11:C12"/>
    <mergeCell ref="D11:D12"/>
    <mergeCell ref="E11:H11"/>
    <mergeCell ref="I11:I12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9"/>
  <sheetViews>
    <sheetView showGridLines="0" view="pageBreakPreview" topLeftCell="A52" zoomScale="60" zoomScaleNormal="80" workbookViewId="0">
      <selection activeCell="I84" sqref="I84"/>
    </sheetView>
  </sheetViews>
  <sheetFormatPr baseColWidth="10" defaultRowHeight="12.75" x14ac:dyDescent="0.2"/>
  <cols>
    <col min="1" max="2" width="6.28515625" style="1" bestFit="1" customWidth="1"/>
    <col min="3" max="3" width="37.7109375" style="57" customWidth="1"/>
    <col min="4" max="4" width="21.28515625" style="3" bestFit="1" customWidth="1"/>
    <col min="5" max="5" width="18.28515625" style="75" customWidth="1"/>
    <col min="6" max="6" width="17.5703125" style="83" customWidth="1"/>
    <col min="7" max="7" width="20.7109375" style="97" bestFit="1" customWidth="1"/>
    <col min="8" max="8" width="18" style="91" bestFit="1" customWidth="1"/>
    <col min="9" max="9" width="18" style="91" customWidth="1"/>
    <col min="10" max="10" width="38" style="43" customWidth="1"/>
    <col min="11" max="11" width="27.42578125" style="2" customWidth="1"/>
    <col min="12" max="12" width="11.42578125" style="2"/>
    <col min="13" max="13" width="14.140625" style="2" bestFit="1" customWidth="1"/>
    <col min="14" max="249" width="11.42578125" style="2"/>
    <col min="250" max="250" width="9.7109375" style="2" customWidth="1"/>
    <col min="251" max="251" width="6" style="2" customWidth="1"/>
    <col min="252" max="252" width="60.5703125" style="2" customWidth="1"/>
    <col min="253" max="253" width="15.5703125" style="2" customWidth="1"/>
    <col min="254" max="265" width="13.28515625" style="2" customWidth="1"/>
    <col min="266" max="505" width="11.42578125" style="2"/>
    <col min="506" max="506" width="9.7109375" style="2" customWidth="1"/>
    <col min="507" max="507" width="6" style="2" customWidth="1"/>
    <col min="508" max="508" width="60.5703125" style="2" customWidth="1"/>
    <col min="509" max="509" width="15.5703125" style="2" customWidth="1"/>
    <col min="510" max="521" width="13.28515625" style="2" customWidth="1"/>
    <col min="522" max="761" width="11.42578125" style="2"/>
    <col min="762" max="762" width="9.7109375" style="2" customWidth="1"/>
    <col min="763" max="763" width="6" style="2" customWidth="1"/>
    <col min="764" max="764" width="60.5703125" style="2" customWidth="1"/>
    <col min="765" max="765" width="15.5703125" style="2" customWidth="1"/>
    <col min="766" max="777" width="13.28515625" style="2" customWidth="1"/>
    <col min="778" max="1017" width="11.42578125" style="2"/>
    <col min="1018" max="1018" width="9.7109375" style="2" customWidth="1"/>
    <col min="1019" max="1019" width="6" style="2" customWidth="1"/>
    <col min="1020" max="1020" width="60.5703125" style="2" customWidth="1"/>
    <col min="1021" max="1021" width="15.5703125" style="2" customWidth="1"/>
    <col min="1022" max="1033" width="13.28515625" style="2" customWidth="1"/>
    <col min="1034" max="1273" width="11.42578125" style="2"/>
    <col min="1274" max="1274" width="9.7109375" style="2" customWidth="1"/>
    <col min="1275" max="1275" width="6" style="2" customWidth="1"/>
    <col min="1276" max="1276" width="60.5703125" style="2" customWidth="1"/>
    <col min="1277" max="1277" width="15.5703125" style="2" customWidth="1"/>
    <col min="1278" max="1289" width="13.28515625" style="2" customWidth="1"/>
    <col min="1290" max="1529" width="11.42578125" style="2"/>
    <col min="1530" max="1530" width="9.7109375" style="2" customWidth="1"/>
    <col min="1531" max="1531" width="6" style="2" customWidth="1"/>
    <col min="1532" max="1532" width="60.5703125" style="2" customWidth="1"/>
    <col min="1533" max="1533" width="15.5703125" style="2" customWidth="1"/>
    <col min="1534" max="1545" width="13.28515625" style="2" customWidth="1"/>
    <col min="1546" max="1785" width="11.42578125" style="2"/>
    <col min="1786" max="1786" width="9.7109375" style="2" customWidth="1"/>
    <col min="1787" max="1787" width="6" style="2" customWidth="1"/>
    <col min="1788" max="1788" width="60.5703125" style="2" customWidth="1"/>
    <col min="1789" max="1789" width="15.5703125" style="2" customWidth="1"/>
    <col min="1790" max="1801" width="13.28515625" style="2" customWidth="1"/>
    <col min="1802" max="2041" width="11.42578125" style="2"/>
    <col min="2042" max="2042" width="9.7109375" style="2" customWidth="1"/>
    <col min="2043" max="2043" width="6" style="2" customWidth="1"/>
    <col min="2044" max="2044" width="60.5703125" style="2" customWidth="1"/>
    <col min="2045" max="2045" width="15.5703125" style="2" customWidth="1"/>
    <col min="2046" max="2057" width="13.28515625" style="2" customWidth="1"/>
    <col min="2058" max="2297" width="11.42578125" style="2"/>
    <col min="2298" max="2298" width="9.7109375" style="2" customWidth="1"/>
    <col min="2299" max="2299" width="6" style="2" customWidth="1"/>
    <col min="2300" max="2300" width="60.5703125" style="2" customWidth="1"/>
    <col min="2301" max="2301" width="15.5703125" style="2" customWidth="1"/>
    <col min="2302" max="2313" width="13.28515625" style="2" customWidth="1"/>
    <col min="2314" max="2553" width="11.42578125" style="2"/>
    <col min="2554" max="2554" width="9.7109375" style="2" customWidth="1"/>
    <col min="2555" max="2555" width="6" style="2" customWidth="1"/>
    <col min="2556" max="2556" width="60.5703125" style="2" customWidth="1"/>
    <col min="2557" max="2557" width="15.5703125" style="2" customWidth="1"/>
    <col min="2558" max="2569" width="13.28515625" style="2" customWidth="1"/>
    <col min="2570" max="2809" width="11.42578125" style="2"/>
    <col min="2810" max="2810" width="9.7109375" style="2" customWidth="1"/>
    <col min="2811" max="2811" width="6" style="2" customWidth="1"/>
    <col min="2812" max="2812" width="60.5703125" style="2" customWidth="1"/>
    <col min="2813" max="2813" width="15.5703125" style="2" customWidth="1"/>
    <col min="2814" max="2825" width="13.28515625" style="2" customWidth="1"/>
    <col min="2826" max="3065" width="11.42578125" style="2"/>
    <col min="3066" max="3066" width="9.7109375" style="2" customWidth="1"/>
    <col min="3067" max="3067" width="6" style="2" customWidth="1"/>
    <col min="3068" max="3068" width="60.5703125" style="2" customWidth="1"/>
    <col min="3069" max="3069" width="15.5703125" style="2" customWidth="1"/>
    <col min="3070" max="3081" width="13.28515625" style="2" customWidth="1"/>
    <col min="3082" max="3321" width="11.42578125" style="2"/>
    <col min="3322" max="3322" width="9.7109375" style="2" customWidth="1"/>
    <col min="3323" max="3323" width="6" style="2" customWidth="1"/>
    <col min="3324" max="3324" width="60.5703125" style="2" customWidth="1"/>
    <col min="3325" max="3325" width="15.5703125" style="2" customWidth="1"/>
    <col min="3326" max="3337" width="13.28515625" style="2" customWidth="1"/>
    <col min="3338" max="3577" width="11.42578125" style="2"/>
    <col min="3578" max="3578" width="9.7109375" style="2" customWidth="1"/>
    <col min="3579" max="3579" width="6" style="2" customWidth="1"/>
    <col min="3580" max="3580" width="60.5703125" style="2" customWidth="1"/>
    <col min="3581" max="3581" width="15.5703125" style="2" customWidth="1"/>
    <col min="3582" max="3593" width="13.28515625" style="2" customWidth="1"/>
    <col min="3594" max="3833" width="11.42578125" style="2"/>
    <col min="3834" max="3834" width="9.7109375" style="2" customWidth="1"/>
    <col min="3835" max="3835" width="6" style="2" customWidth="1"/>
    <col min="3836" max="3836" width="60.5703125" style="2" customWidth="1"/>
    <col min="3837" max="3837" width="15.5703125" style="2" customWidth="1"/>
    <col min="3838" max="3849" width="13.28515625" style="2" customWidth="1"/>
    <col min="3850" max="4089" width="11.42578125" style="2"/>
    <col min="4090" max="4090" width="9.7109375" style="2" customWidth="1"/>
    <col min="4091" max="4091" width="6" style="2" customWidth="1"/>
    <col min="4092" max="4092" width="60.5703125" style="2" customWidth="1"/>
    <col min="4093" max="4093" width="15.5703125" style="2" customWidth="1"/>
    <col min="4094" max="4105" width="13.28515625" style="2" customWidth="1"/>
    <col min="4106" max="4345" width="11.42578125" style="2"/>
    <col min="4346" max="4346" width="9.7109375" style="2" customWidth="1"/>
    <col min="4347" max="4347" width="6" style="2" customWidth="1"/>
    <col min="4348" max="4348" width="60.5703125" style="2" customWidth="1"/>
    <col min="4349" max="4349" width="15.5703125" style="2" customWidth="1"/>
    <col min="4350" max="4361" width="13.28515625" style="2" customWidth="1"/>
    <col min="4362" max="4601" width="11.42578125" style="2"/>
    <col min="4602" max="4602" width="9.7109375" style="2" customWidth="1"/>
    <col min="4603" max="4603" width="6" style="2" customWidth="1"/>
    <col min="4604" max="4604" width="60.5703125" style="2" customWidth="1"/>
    <col min="4605" max="4605" width="15.5703125" style="2" customWidth="1"/>
    <col min="4606" max="4617" width="13.28515625" style="2" customWidth="1"/>
    <col min="4618" max="4857" width="11.42578125" style="2"/>
    <col min="4858" max="4858" width="9.7109375" style="2" customWidth="1"/>
    <col min="4859" max="4859" width="6" style="2" customWidth="1"/>
    <col min="4860" max="4860" width="60.5703125" style="2" customWidth="1"/>
    <col min="4861" max="4861" width="15.5703125" style="2" customWidth="1"/>
    <col min="4862" max="4873" width="13.28515625" style="2" customWidth="1"/>
    <col min="4874" max="5113" width="11.42578125" style="2"/>
    <col min="5114" max="5114" width="9.7109375" style="2" customWidth="1"/>
    <col min="5115" max="5115" width="6" style="2" customWidth="1"/>
    <col min="5116" max="5116" width="60.5703125" style="2" customWidth="1"/>
    <col min="5117" max="5117" width="15.5703125" style="2" customWidth="1"/>
    <col min="5118" max="5129" width="13.28515625" style="2" customWidth="1"/>
    <col min="5130" max="5369" width="11.42578125" style="2"/>
    <col min="5370" max="5370" width="9.7109375" style="2" customWidth="1"/>
    <col min="5371" max="5371" width="6" style="2" customWidth="1"/>
    <col min="5372" max="5372" width="60.5703125" style="2" customWidth="1"/>
    <col min="5373" max="5373" width="15.5703125" style="2" customWidth="1"/>
    <col min="5374" max="5385" width="13.28515625" style="2" customWidth="1"/>
    <col min="5386" max="5625" width="11.42578125" style="2"/>
    <col min="5626" max="5626" width="9.7109375" style="2" customWidth="1"/>
    <col min="5627" max="5627" width="6" style="2" customWidth="1"/>
    <col min="5628" max="5628" width="60.5703125" style="2" customWidth="1"/>
    <col min="5629" max="5629" width="15.5703125" style="2" customWidth="1"/>
    <col min="5630" max="5641" width="13.28515625" style="2" customWidth="1"/>
    <col min="5642" max="5881" width="11.42578125" style="2"/>
    <col min="5882" max="5882" width="9.7109375" style="2" customWidth="1"/>
    <col min="5883" max="5883" width="6" style="2" customWidth="1"/>
    <col min="5884" max="5884" width="60.5703125" style="2" customWidth="1"/>
    <col min="5885" max="5885" width="15.5703125" style="2" customWidth="1"/>
    <col min="5886" max="5897" width="13.28515625" style="2" customWidth="1"/>
    <col min="5898" max="6137" width="11.42578125" style="2"/>
    <col min="6138" max="6138" width="9.7109375" style="2" customWidth="1"/>
    <col min="6139" max="6139" width="6" style="2" customWidth="1"/>
    <col min="6140" max="6140" width="60.5703125" style="2" customWidth="1"/>
    <col min="6141" max="6141" width="15.5703125" style="2" customWidth="1"/>
    <col min="6142" max="6153" width="13.28515625" style="2" customWidth="1"/>
    <col min="6154" max="6393" width="11.42578125" style="2"/>
    <col min="6394" max="6394" width="9.7109375" style="2" customWidth="1"/>
    <col min="6395" max="6395" width="6" style="2" customWidth="1"/>
    <col min="6396" max="6396" width="60.5703125" style="2" customWidth="1"/>
    <col min="6397" max="6397" width="15.5703125" style="2" customWidth="1"/>
    <col min="6398" max="6409" width="13.28515625" style="2" customWidth="1"/>
    <col min="6410" max="6649" width="11.42578125" style="2"/>
    <col min="6650" max="6650" width="9.7109375" style="2" customWidth="1"/>
    <col min="6651" max="6651" width="6" style="2" customWidth="1"/>
    <col min="6652" max="6652" width="60.5703125" style="2" customWidth="1"/>
    <col min="6653" max="6653" width="15.5703125" style="2" customWidth="1"/>
    <col min="6654" max="6665" width="13.28515625" style="2" customWidth="1"/>
    <col min="6666" max="6905" width="11.42578125" style="2"/>
    <col min="6906" max="6906" width="9.7109375" style="2" customWidth="1"/>
    <col min="6907" max="6907" width="6" style="2" customWidth="1"/>
    <col min="6908" max="6908" width="60.5703125" style="2" customWidth="1"/>
    <col min="6909" max="6909" width="15.5703125" style="2" customWidth="1"/>
    <col min="6910" max="6921" width="13.28515625" style="2" customWidth="1"/>
    <col min="6922" max="7161" width="11.42578125" style="2"/>
    <col min="7162" max="7162" width="9.7109375" style="2" customWidth="1"/>
    <col min="7163" max="7163" width="6" style="2" customWidth="1"/>
    <col min="7164" max="7164" width="60.5703125" style="2" customWidth="1"/>
    <col min="7165" max="7165" width="15.5703125" style="2" customWidth="1"/>
    <col min="7166" max="7177" width="13.28515625" style="2" customWidth="1"/>
    <col min="7178" max="7417" width="11.42578125" style="2"/>
    <col min="7418" max="7418" width="9.7109375" style="2" customWidth="1"/>
    <col min="7419" max="7419" width="6" style="2" customWidth="1"/>
    <col min="7420" max="7420" width="60.5703125" style="2" customWidth="1"/>
    <col min="7421" max="7421" width="15.5703125" style="2" customWidth="1"/>
    <col min="7422" max="7433" width="13.28515625" style="2" customWidth="1"/>
    <col min="7434" max="7673" width="11.42578125" style="2"/>
    <col min="7674" max="7674" width="9.7109375" style="2" customWidth="1"/>
    <col min="7675" max="7675" width="6" style="2" customWidth="1"/>
    <col min="7676" max="7676" width="60.5703125" style="2" customWidth="1"/>
    <col min="7677" max="7677" width="15.5703125" style="2" customWidth="1"/>
    <col min="7678" max="7689" width="13.28515625" style="2" customWidth="1"/>
    <col min="7690" max="7929" width="11.42578125" style="2"/>
    <col min="7930" max="7930" width="9.7109375" style="2" customWidth="1"/>
    <col min="7931" max="7931" width="6" style="2" customWidth="1"/>
    <col min="7932" max="7932" width="60.5703125" style="2" customWidth="1"/>
    <col min="7933" max="7933" width="15.5703125" style="2" customWidth="1"/>
    <col min="7934" max="7945" width="13.28515625" style="2" customWidth="1"/>
    <col min="7946" max="8185" width="11.42578125" style="2"/>
    <col min="8186" max="8186" width="9.7109375" style="2" customWidth="1"/>
    <col min="8187" max="8187" width="6" style="2" customWidth="1"/>
    <col min="8188" max="8188" width="60.5703125" style="2" customWidth="1"/>
    <col min="8189" max="8189" width="15.5703125" style="2" customWidth="1"/>
    <col min="8190" max="8201" width="13.28515625" style="2" customWidth="1"/>
    <col min="8202" max="8441" width="11.42578125" style="2"/>
    <col min="8442" max="8442" width="9.7109375" style="2" customWidth="1"/>
    <col min="8443" max="8443" width="6" style="2" customWidth="1"/>
    <col min="8444" max="8444" width="60.5703125" style="2" customWidth="1"/>
    <col min="8445" max="8445" width="15.5703125" style="2" customWidth="1"/>
    <col min="8446" max="8457" width="13.28515625" style="2" customWidth="1"/>
    <col min="8458" max="8697" width="11.42578125" style="2"/>
    <col min="8698" max="8698" width="9.7109375" style="2" customWidth="1"/>
    <col min="8699" max="8699" width="6" style="2" customWidth="1"/>
    <col min="8700" max="8700" width="60.5703125" style="2" customWidth="1"/>
    <col min="8701" max="8701" width="15.5703125" style="2" customWidth="1"/>
    <col min="8702" max="8713" width="13.28515625" style="2" customWidth="1"/>
    <col min="8714" max="8953" width="11.42578125" style="2"/>
    <col min="8954" max="8954" width="9.7109375" style="2" customWidth="1"/>
    <col min="8955" max="8955" width="6" style="2" customWidth="1"/>
    <col min="8956" max="8956" width="60.5703125" style="2" customWidth="1"/>
    <col min="8957" max="8957" width="15.5703125" style="2" customWidth="1"/>
    <col min="8958" max="8969" width="13.28515625" style="2" customWidth="1"/>
    <col min="8970" max="9209" width="11.42578125" style="2"/>
    <col min="9210" max="9210" width="9.7109375" style="2" customWidth="1"/>
    <col min="9211" max="9211" width="6" style="2" customWidth="1"/>
    <col min="9212" max="9212" width="60.5703125" style="2" customWidth="1"/>
    <col min="9213" max="9213" width="15.5703125" style="2" customWidth="1"/>
    <col min="9214" max="9225" width="13.28515625" style="2" customWidth="1"/>
    <col min="9226" max="9465" width="11.42578125" style="2"/>
    <col min="9466" max="9466" width="9.7109375" style="2" customWidth="1"/>
    <col min="9467" max="9467" width="6" style="2" customWidth="1"/>
    <col min="9468" max="9468" width="60.5703125" style="2" customWidth="1"/>
    <col min="9469" max="9469" width="15.5703125" style="2" customWidth="1"/>
    <col min="9470" max="9481" width="13.28515625" style="2" customWidth="1"/>
    <col min="9482" max="9721" width="11.42578125" style="2"/>
    <col min="9722" max="9722" width="9.7109375" style="2" customWidth="1"/>
    <col min="9723" max="9723" width="6" style="2" customWidth="1"/>
    <col min="9724" max="9724" width="60.5703125" style="2" customWidth="1"/>
    <col min="9725" max="9725" width="15.5703125" style="2" customWidth="1"/>
    <col min="9726" max="9737" width="13.28515625" style="2" customWidth="1"/>
    <col min="9738" max="9977" width="11.42578125" style="2"/>
    <col min="9978" max="9978" width="9.7109375" style="2" customWidth="1"/>
    <col min="9979" max="9979" width="6" style="2" customWidth="1"/>
    <col min="9980" max="9980" width="60.5703125" style="2" customWidth="1"/>
    <col min="9981" max="9981" width="15.5703125" style="2" customWidth="1"/>
    <col min="9982" max="9993" width="13.28515625" style="2" customWidth="1"/>
    <col min="9994" max="10233" width="11.42578125" style="2"/>
    <col min="10234" max="10234" width="9.7109375" style="2" customWidth="1"/>
    <col min="10235" max="10235" width="6" style="2" customWidth="1"/>
    <col min="10236" max="10236" width="60.5703125" style="2" customWidth="1"/>
    <col min="10237" max="10237" width="15.5703125" style="2" customWidth="1"/>
    <col min="10238" max="10249" width="13.28515625" style="2" customWidth="1"/>
    <col min="10250" max="10489" width="11.42578125" style="2"/>
    <col min="10490" max="10490" width="9.7109375" style="2" customWidth="1"/>
    <col min="10491" max="10491" width="6" style="2" customWidth="1"/>
    <col min="10492" max="10492" width="60.5703125" style="2" customWidth="1"/>
    <col min="10493" max="10493" width="15.5703125" style="2" customWidth="1"/>
    <col min="10494" max="10505" width="13.28515625" style="2" customWidth="1"/>
    <col min="10506" max="10745" width="11.42578125" style="2"/>
    <col min="10746" max="10746" width="9.7109375" style="2" customWidth="1"/>
    <col min="10747" max="10747" width="6" style="2" customWidth="1"/>
    <col min="10748" max="10748" width="60.5703125" style="2" customWidth="1"/>
    <col min="10749" max="10749" width="15.5703125" style="2" customWidth="1"/>
    <col min="10750" max="10761" width="13.28515625" style="2" customWidth="1"/>
    <col min="10762" max="11001" width="11.42578125" style="2"/>
    <col min="11002" max="11002" width="9.7109375" style="2" customWidth="1"/>
    <col min="11003" max="11003" width="6" style="2" customWidth="1"/>
    <col min="11004" max="11004" width="60.5703125" style="2" customWidth="1"/>
    <col min="11005" max="11005" width="15.5703125" style="2" customWidth="1"/>
    <col min="11006" max="11017" width="13.28515625" style="2" customWidth="1"/>
    <col min="11018" max="11257" width="11.42578125" style="2"/>
    <col min="11258" max="11258" width="9.7109375" style="2" customWidth="1"/>
    <col min="11259" max="11259" width="6" style="2" customWidth="1"/>
    <col min="11260" max="11260" width="60.5703125" style="2" customWidth="1"/>
    <col min="11261" max="11261" width="15.5703125" style="2" customWidth="1"/>
    <col min="11262" max="11273" width="13.28515625" style="2" customWidth="1"/>
    <col min="11274" max="11513" width="11.42578125" style="2"/>
    <col min="11514" max="11514" width="9.7109375" style="2" customWidth="1"/>
    <col min="11515" max="11515" width="6" style="2" customWidth="1"/>
    <col min="11516" max="11516" width="60.5703125" style="2" customWidth="1"/>
    <col min="11517" max="11517" width="15.5703125" style="2" customWidth="1"/>
    <col min="11518" max="11529" width="13.28515625" style="2" customWidth="1"/>
    <col min="11530" max="11769" width="11.42578125" style="2"/>
    <col min="11770" max="11770" width="9.7109375" style="2" customWidth="1"/>
    <col min="11771" max="11771" width="6" style="2" customWidth="1"/>
    <col min="11772" max="11772" width="60.5703125" style="2" customWidth="1"/>
    <col min="11773" max="11773" width="15.5703125" style="2" customWidth="1"/>
    <col min="11774" max="11785" width="13.28515625" style="2" customWidth="1"/>
    <col min="11786" max="12025" width="11.42578125" style="2"/>
    <col min="12026" max="12026" width="9.7109375" style="2" customWidth="1"/>
    <col min="12027" max="12027" width="6" style="2" customWidth="1"/>
    <col min="12028" max="12028" width="60.5703125" style="2" customWidth="1"/>
    <col min="12029" max="12029" width="15.5703125" style="2" customWidth="1"/>
    <col min="12030" max="12041" width="13.28515625" style="2" customWidth="1"/>
    <col min="12042" max="12281" width="11.42578125" style="2"/>
    <col min="12282" max="12282" width="9.7109375" style="2" customWidth="1"/>
    <col min="12283" max="12283" width="6" style="2" customWidth="1"/>
    <col min="12284" max="12284" width="60.5703125" style="2" customWidth="1"/>
    <col min="12285" max="12285" width="15.5703125" style="2" customWidth="1"/>
    <col min="12286" max="12297" width="13.28515625" style="2" customWidth="1"/>
    <col min="12298" max="12537" width="11.42578125" style="2"/>
    <col min="12538" max="12538" width="9.7109375" style="2" customWidth="1"/>
    <col min="12539" max="12539" width="6" style="2" customWidth="1"/>
    <col min="12540" max="12540" width="60.5703125" style="2" customWidth="1"/>
    <col min="12541" max="12541" width="15.5703125" style="2" customWidth="1"/>
    <col min="12542" max="12553" width="13.28515625" style="2" customWidth="1"/>
    <col min="12554" max="12793" width="11.42578125" style="2"/>
    <col min="12794" max="12794" width="9.7109375" style="2" customWidth="1"/>
    <col min="12795" max="12795" width="6" style="2" customWidth="1"/>
    <col min="12796" max="12796" width="60.5703125" style="2" customWidth="1"/>
    <col min="12797" max="12797" width="15.5703125" style="2" customWidth="1"/>
    <col min="12798" max="12809" width="13.28515625" style="2" customWidth="1"/>
    <col min="12810" max="13049" width="11.42578125" style="2"/>
    <col min="13050" max="13050" width="9.7109375" style="2" customWidth="1"/>
    <col min="13051" max="13051" width="6" style="2" customWidth="1"/>
    <col min="13052" max="13052" width="60.5703125" style="2" customWidth="1"/>
    <col min="13053" max="13053" width="15.5703125" style="2" customWidth="1"/>
    <col min="13054" max="13065" width="13.28515625" style="2" customWidth="1"/>
    <col min="13066" max="13305" width="11.42578125" style="2"/>
    <col min="13306" max="13306" width="9.7109375" style="2" customWidth="1"/>
    <col min="13307" max="13307" width="6" style="2" customWidth="1"/>
    <col min="13308" max="13308" width="60.5703125" style="2" customWidth="1"/>
    <col min="13309" max="13309" width="15.5703125" style="2" customWidth="1"/>
    <col min="13310" max="13321" width="13.28515625" style="2" customWidth="1"/>
    <col min="13322" max="13561" width="11.42578125" style="2"/>
    <col min="13562" max="13562" width="9.7109375" style="2" customWidth="1"/>
    <col min="13563" max="13563" width="6" style="2" customWidth="1"/>
    <col min="13564" max="13564" width="60.5703125" style="2" customWidth="1"/>
    <col min="13565" max="13565" width="15.5703125" style="2" customWidth="1"/>
    <col min="13566" max="13577" width="13.28515625" style="2" customWidth="1"/>
    <col min="13578" max="13817" width="11.42578125" style="2"/>
    <col min="13818" max="13818" width="9.7109375" style="2" customWidth="1"/>
    <col min="13819" max="13819" width="6" style="2" customWidth="1"/>
    <col min="13820" max="13820" width="60.5703125" style="2" customWidth="1"/>
    <col min="13821" max="13821" width="15.5703125" style="2" customWidth="1"/>
    <col min="13822" max="13833" width="13.28515625" style="2" customWidth="1"/>
    <col min="13834" max="14073" width="11.42578125" style="2"/>
    <col min="14074" max="14074" width="9.7109375" style="2" customWidth="1"/>
    <col min="14075" max="14075" width="6" style="2" customWidth="1"/>
    <col min="14076" max="14076" width="60.5703125" style="2" customWidth="1"/>
    <col min="14077" max="14077" width="15.5703125" style="2" customWidth="1"/>
    <col min="14078" max="14089" width="13.28515625" style="2" customWidth="1"/>
    <col min="14090" max="14329" width="11.42578125" style="2"/>
    <col min="14330" max="14330" width="9.7109375" style="2" customWidth="1"/>
    <col min="14331" max="14331" width="6" style="2" customWidth="1"/>
    <col min="14332" max="14332" width="60.5703125" style="2" customWidth="1"/>
    <col min="14333" max="14333" width="15.5703125" style="2" customWidth="1"/>
    <col min="14334" max="14345" width="13.28515625" style="2" customWidth="1"/>
    <col min="14346" max="14585" width="11.42578125" style="2"/>
    <col min="14586" max="14586" width="9.7109375" style="2" customWidth="1"/>
    <col min="14587" max="14587" width="6" style="2" customWidth="1"/>
    <col min="14588" max="14588" width="60.5703125" style="2" customWidth="1"/>
    <col min="14589" max="14589" width="15.5703125" style="2" customWidth="1"/>
    <col min="14590" max="14601" width="13.28515625" style="2" customWidth="1"/>
    <col min="14602" max="14841" width="11.42578125" style="2"/>
    <col min="14842" max="14842" width="9.7109375" style="2" customWidth="1"/>
    <col min="14843" max="14843" width="6" style="2" customWidth="1"/>
    <col min="14844" max="14844" width="60.5703125" style="2" customWidth="1"/>
    <col min="14845" max="14845" width="15.5703125" style="2" customWidth="1"/>
    <col min="14846" max="14857" width="13.28515625" style="2" customWidth="1"/>
    <col min="14858" max="15097" width="11.42578125" style="2"/>
    <col min="15098" max="15098" width="9.7109375" style="2" customWidth="1"/>
    <col min="15099" max="15099" width="6" style="2" customWidth="1"/>
    <col min="15100" max="15100" width="60.5703125" style="2" customWidth="1"/>
    <col min="15101" max="15101" width="15.5703125" style="2" customWidth="1"/>
    <col min="15102" max="15113" width="13.28515625" style="2" customWidth="1"/>
    <col min="15114" max="15353" width="11.42578125" style="2"/>
    <col min="15354" max="15354" width="9.7109375" style="2" customWidth="1"/>
    <col min="15355" max="15355" width="6" style="2" customWidth="1"/>
    <col min="15356" max="15356" width="60.5703125" style="2" customWidth="1"/>
    <col min="15357" max="15357" width="15.5703125" style="2" customWidth="1"/>
    <col min="15358" max="15369" width="13.28515625" style="2" customWidth="1"/>
    <col min="15370" max="15609" width="11.42578125" style="2"/>
    <col min="15610" max="15610" width="9.7109375" style="2" customWidth="1"/>
    <col min="15611" max="15611" width="6" style="2" customWidth="1"/>
    <col min="15612" max="15612" width="60.5703125" style="2" customWidth="1"/>
    <col min="15613" max="15613" width="15.5703125" style="2" customWidth="1"/>
    <col min="15614" max="15625" width="13.28515625" style="2" customWidth="1"/>
    <col min="15626" max="15865" width="11.42578125" style="2"/>
    <col min="15866" max="15866" width="9.7109375" style="2" customWidth="1"/>
    <col min="15867" max="15867" width="6" style="2" customWidth="1"/>
    <col min="15868" max="15868" width="60.5703125" style="2" customWidth="1"/>
    <col min="15869" max="15869" width="15.5703125" style="2" customWidth="1"/>
    <col min="15870" max="15881" width="13.28515625" style="2" customWidth="1"/>
    <col min="15882" max="16121" width="11.42578125" style="2"/>
    <col min="16122" max="16122" width="9.7109375" style="2" customWidth="1"/>
    <col min="16123" max="16123" width="6" style="2" customWidth="1"/>
    <col min="16124" max="16124" width="60.5703125" style="2" customWidth="1"/>
    <col min="16125" max="16125" width="15.5703125" style="2" customWidth="1"/>
    <col min="16126" max="16137" width="13.28515625" style="2" customWidth="1"/>
    <col min="16138" max="16384" width="11.42578125" style="2"/>
  </cols>
  <sheetData>
    <row r="1" spans="1:16" ht="27" customHeight="1" x14ac:dyDescent="0.2">
      <c r="C1" s="107"/>
      <c r="D1" s="108"/>
      <c r="E1" s="73"/>
      <c r="F1" s="73"/>
      <c r="G1" s="73"/>
      <c r="H1" s="73"/>
      <c r="I1" s="73"/>
      <c r="J1" s="6" t="s">
        <v>204</v>
      </c>
      <c r="O1" s="7"/>
      <c r="P1" s="7"/>
    </row>
    <row r="2" spans="1:16" ht="27" customHeight="1" x14ac:dyDescent="0.2">
      <c r="A2" s="8"/>
      <c r="B2" s="8"/>
      <c r="C2" s="58"/>
      <c r="D2" s="108"/>
      <c r="E2" s="8"/>
      <c r="F2" s="8"/>
      <c r="G2" s="8"/>
      <c r="H2" s="8"/>
      <c r="I2" s="8"/>
      <c r="J2" s="6" t="s">
        <v>20</v>
      </c>
      <c r="O2" s="7"/>
      <c r="P2" s="7"/>
    </row>
    <row r="3" spans="1:16" ht="3" customHeight="1" x14ac:dyDescent="0.2">
      <c r="A3" s="2"/>
      <c r="B3" s="2"/>
      <c r="C3" s="107"/>
      <c r="D3" s="108"/>
      <c r="E3" s="73"/>
      <c r="F3" s="73"/>
      <c r="G3" s="73"/>
      <c r="H3" s="73"/>
      <c r="I3" s="73"/>
      <c r="J3" s="10"/>
      <c r="O3" s="7"/>
      <c r="P3" s="7"/>
    </row>
    <row r="4" spans="1:16" ht="15.75" customHeight="1" x14ac:dyDescent="0.2">
      <c r="A4" s="11"/>
      <c r="B4" s="11"/>
      <c r="C4" s="109"/>
      <c r="D4" s="110"/>
      <c r="E4" s="111"/>
      <c r="F4" s="111"/>
      <c r="G4" s="111"/>
      <c r="H4" s="111"/>
      <c r="I4" s="111"/>
      <c r="J4" s="423" t="str">
        <f>ELECTROMECANICA!I4</f>
        <v>INSTITUTO TECNOLÓGICO SUPERIOR DE TAMAZULA DE GORDIANO</v>
      </c>
      <c r="O4" s="7"/>
      <c r="P4" s="7"/>
    </row>
    <row r="5" spans="1:16" ht="12.75" customHeight="1" x14ac:dyDescent="0.2">
      <c r="A5" s="11"/>
      <c r="B5" s="11"/>
      <c r="C5" s="109"/>
      <c r="D5" s="110"/>
      <c r="E5" s="111"/>
      <c r="F5" s="111"/>
      <c r="G5" s="111"/>
      <c r="H5" s="111"/>
      <c r="I5" s="111"/>
      <c r="J5" s="9" t="s">
        <v>22</v>
      </c>
      <c r="O5" s="7"/>
      <c r="P5" s="7"/>
    </row>
    <row r="6" spans="1:16" ht="20.25" customHeight="1" x14ac:dyDescent="0.2">
      <c r="A6" s="11"/>
      <c r="B6" s="11"/>
      <c r="C6" s="494" t="s">
        <v>255</v>
      </c>
      <c r="D6" s="494"/>
      <c r="E6" s="494"/>
      <c r="F6" s="494"/>
      <c r="G6" s="494"/>
      <c r="H6" s="494"/>
      <c r="I6" s="254"/>
      <c r="J6" s="423" t="str">
        <f>ELECTROMECANICA!I6</f>
        <v>SUBDIRECCIÓN ACADÉMICA</v>
      </c>
      <c r="O6" s="7"/>
      <c r="P6" s="7"/>
    </row>
    <row r="7" spans="1:16" ht="12.75" customHeight="1" x14ac:dyDescent="0.2">
      <c r="A7" s="11"/>
      <c r="B7" s="11"/>
      <c r="C7" s="494"/>
      <c r="D7" s="494"/>
      <c r="E7" s="494"/>
      <c r="F7" s="494"/>
      <c r="G7" s="494"/>
      <c r="H7" s="494"/>
      <c r="I7" s="254"/>
      <c r="J7" s="9" t="s">
        <v>267</v>
      </c>
      <c r="O7" s="7"/>
      <c r="P7" s="7"/>
    </row>
    <row r="8" spans="1:16" ht="17.25" customHeight="1" x14ac:dyDescent="0.2">
      <c r="A8" s="11"/>
      <c r="B8" s="11"/>
      <c r="C8" s="494"/>
      <c r="D8" s="494"/>
      <c r="E8" s="494"/>
      <c r="F8" s="494"/>
      <c r="G8" s="494"/>
      <c r="H8" s="494"/>
      <c r="I8" s="254"/>
      <c r="J8" s="423" t="s">
        <v>269</v>
      </c>
      <c r="O8" s="7"/>
      <c r="P8" s="7"/>
    </row>
    <row r="9" spans="1:16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111"/>
      <c r="J9" s="9" t="str">
        <f>ELECTROMECANICA!I9</f>
        <v>AREA</v>
      </c>
      <c r="O9" s="7"/>
      <c r="P9" s="7"/>
    </row>
    <row r="10" spans="1:16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260"/>
      <c r="J10" s="5"/>
      <c r="K10" s="7"/>
      <c r="L10" s="7"/>
      <c r="M10" s="7"/>
      <c r="N10" s="7"/>
      <c r="O10" s="7"/>
      <c r="P10" s="7"/>
    </row>
    <row r="11" spans="1:16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261"/>
      <c r="J11" s="483" t="s">
        <v>27</v>
      </c>
    </row>
    <row r="12" spans="1:16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262" t="s">
        <v>238</v>
      </c>
      <c r="J12" s="484"/>
    </row>
    <row r="13" spans="1:16" s="21" customFormat="1" x14ac:dyDescent="0.2">
      <c r="A13" s="53">
        <v>1131</v>
      </c>
      <c r="B13" s="19"/>
      <c r="C13" s="52" t="s">
        <v>28</v>
      </c>
      <c r="D13" s="61">
        <f>SUM(E13:I13)</f>
        <v>509395.54</v>
      </c>
      <c r="E13" s="76">
        <v>254697.77</v>
      </c>
      <c r="F13" s="84">
        <v>254697.77</v>
      </c>
      <c r="G13" s="98"/>
      <c r="H13" s="92"/>
      <c r="I13" s="263"/>
      <c r="J13" s="47"/>
      <c r="K13" s="472"/>
    </row>
    <row r="14" spans="1:16" s="21" customFormat="1" x14ac:dyDescent="0.2">
      <c r="A14" s="53">
        <v>1211</v>
      </c>
      <c r="B14" s="19"/>
      <c r="C14" s="52" t="s">
        <v>29</v>
      </c>
      <c r="D14" s="61">
        <f t="shared" ref="D14:D77" si="0">SUM(E14:I14)</f>
        <v>0</v>
      </c>
      <c r="E14" s="76"/>
      <c r="F14" s="84"/>
      <c r="G14" s="98"/>
      <c r="H14" s="92"/>
      <c r="I14" s="263"/>
      <c r="J14" s="47"/>
      <c r="K14" s="472"/>
    </row>
    <row r="15" spans="1:16" s="21" customFormat="1" ht="24" x14ac:dyDescent="0.2">
      <c r="A15" s="53">
        <v>1311</v>
      </c>
      <c r="B15" s="19"/>
      <c r="C15" s="52" t="s">
        <v>30</v>
      </c>
      <c r="D15" s="61">
        <f t="shared" si="0"/>
        <v>0</v>
      </c>
      <c r="E15" s="76"/>
      <c r="F15" s="84"/>
      <c r="G15" s="98"/>
      <c r="H15" s="92"/>
      <c r="I15" s="263"/>
      <c r="J15" s="47"/>
      <c r="K15" s="472"/>
    </row>
    <row r="16" spans="1:16" s="21" customFormat="1" x14ac:dyDescent="0.2">
      <c r="A16" s="53">
        <v>1321</v>
      </c>
      <c r="B16" s="19"/>
      <c r="C16" s="52" t="s">
        <v>31</v>
      </c>
      <c r="D16" s="61">
        <f t="shared" si="0"/>
        <v>33959.699999999997</v>
      </c>
      <c r="E16" s="76">
        <v>16979.849999999999</v>
      </c>
      <c r="F16" s="84">
        <v>16979.849999999999</v>
      </c>
      <c r="G16" s="98"/>
      <c r="H16" s="92"/>
      <c r="I16" s="263"/>
      <c r="J16" s="47"/>
      <c r="K16" s="472"/>
    </row>
    <row r="17" spans="1:13" s="21" customFormat="1" x14ac:dyDescent="0.2">
      <c r="A17" s="53">
        <v>1322</v>
      </c>
      <c r="B17" s="19"/>
      <c r="C17" s="52" t="s">
        <v>32</v>
      </c>
      <c r="D17" s="61">
        <f t="shared" si="0"/>
        <v>70749.38</v>
      </c>
      <c r="E17" s="76">
        <f>28299.75+14149.88</f>
        <v>42449.63</v>
      </c>
      <c r="F17" s="84">
        <v>28299.75</v>
      </c>
      <c r="G17" s="98"/>
      <c r="H17" s="92"/>
      <c r="I17" s="263"/>
      <c r="J17" s="47"/>
      <c r="K17" s="472"/>
    </row>
    <row r="18" spans="1:13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263"/>
      <c r="J18" s="47"/>
      <c r="K18" s="472"/>
    </row>
    <row r="19" spans="1:13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263"/>
      <c r="J19" s="47"/>
      <c r="K19" s="472"/>
    </row>
    <row r="20" spans="1:13" s="21" customFormat="1" x14ac:dyDescent="0.2">
      <c r="A20" s="53">
        <v>1421</v>
      </c>
      <c r="B20" s="19"/>
      <c r="C20" s="52" t="s">
        <v>35</v>
      </c>
      <c r="D20" s="61">
        <f t="shared" si="0"/>
        <v>15281.88</v>
      </c>
      <c r="E20" s="76">
        <v>7640.94</v>
      </c>
      <c r="F20" s="84">
        <v>7640.94</v>
      </c>
      <c r="G20" s="98"/>
      <c r="H20" s="92"/>
      <c r="I20" s="263"/>
      <c r="J20" s="47"/>
      <c r="K20" s="472"/>
    </row>
    <row r="21" spans="1:13" s="21" customFormat="1" x14ac:dyDescent="0.2">
      <c r="A21" s="53">
        <v>1431</v>
      </c>
      <c r="B21" s="19"/>
      <c r="C21" s="52" t="s">
        <v>36</v>
      </c>
      <c r="D21" s="61">
        <f t="shared" si="0"/>
        <v>53486.54</v>
      </c>
      <c r="E21" s="76">
        <v>26743.27</v>
      </c>
      <c r="F21" s="84">
        <v>26743.27</v>
      </c>
      <c r="G21" s="98"/>
      <c r="H21" s="92"/>
      <c r="I21" s="263"/>
      <c r="J21" s="47"/>
      <c r="K21" s="472"/>
    </row>
    <row r="22" spans="1:13" s="21" customFormat="1" ht="24" x14ac:dyDescent="0.2">
      <c r="A22" s="53">
        <v>1432</v>
      </c>
      <c r="B22" s="19"/>
      <c r="C22" s="52" t="s">
        <v>37</v>
      </c>
      <c r="D22" s="61">
        <f t="shared" si="0"/>
        <v>10187.92</v>
      </c>
      <c r="E22" s="76">
        <v>5093.96</v>
      </c>
      <c r="F22" s="84">
        <v>5093.96</v>
      </c>
      <c r="G22" s="98"/>
      <c r="H22" s="92"/>
      <c r="I22" s="263"/>
      <c r="J22" s="47"/>
      <c r="K22" s="472"/>
    </row>
    <row r="23" spans="1:13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263"/>
      <c r="J23" s="47"/>
      <c r="K23" s="472"/>
    </row>
    <row r="24" spans="1:13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263"/>
      <c r="J24" s="47"/>
      <c r="K24" s="472"/>
    </row>
    <row r="25" spans="1:13" s="21" customFormat="1" x14ac:dyDescent="0.2">
      <c r="A25" s="53">
        <v>1715</v>
      </c>
      <c r="B25" s="19"/>
      <c r="C25" s="52" t="s">
        <v>39</v>
      </c>
      <c r="D25" s="61">
        <f t="shared" si="0"/>
        <v>21224.81</v>
      </c>
      <c r="E25" s="76">
        <v>21224.81</v>
      </c>
      <c r="F25" s="84"/>
      <c r="G25" s="98"/>
      <c r="H25" s="92"/>
      <c r="I25" s="263"/>
      <c r="J25" s="47"/>
      <c r="K25" s="472"/>
    </row>
    <row r="26" spans="1:13" s="21" customFormat="1" x14ac:dyDescent="0.2">
      <c r="A26" s="53">
        <v>1719</v>
      </c>
      <c r="B26" s="19"/>
      <c r="C26" s="52" t="s">
        <v>40</v>
      </c>
      <c r="D26" s="61">
        <f t="shared" si="0"/>
        <v>7056</v>
      </c>
      <c r="E26" s="76">
        <v>3528</v>
      </c>
      <c r="F26" s="84">
        <v>3528</v>
      </c>
      <c r="G26" s="98"/>
      <c r="H26" s="92"/>
      <c r="I26" s="263"/>
      <c r="J26" s="47"/>
      <c r="K26" s="472"/>
    </row>
    <row r="27" spans="1:13" s="21" customFormat="1" x14ac:dyDescent="0.2">
      <c r="A27" s="53">
        <v>1712</v>
      </c>
      <c r="B27" s="19"/>
      <c r="C27" s="52" t="s">
        <v>41</v>
      </c>
      <c r="D27" s="61">
        <f t="shared" si="0"/>
        <v>37260</v>
      </c>
      <c r="E27" s="76">
        <v>18630</v>
      </c>
      <c r="F27" s="84">
        <v>18630</v>
      </c>
      <c r="G27" s="98"/>
      <c r="H27" s="92"/>
      <c r="I27" s="263"/>
      <c r="J27" s="47"/>
      <c r="K27" s="472"/>
    </row>
    <row r="28" spans="1:13" s="11" customFormat="1" ht="25.5" x14ac:dyDescent="0.2">
      <c r="A28" s="22"/>
      <c r="B28" s="22"/>
      <c r="C28" s="62" t="s">
        <v>16</v>
      </c>
      <c r="D28" s="65">
        <f t="shared" ref="D28:H28" si="1">SUM(D13:D27)</f>
        <v>758601.77000000014</v>
      </c>
      <c r="E28" s="65">
        <f t="shared" si="1"/>
        <v>396988.23000000004</v>
      </c>
      <c r="F28" s="65">
        <f t="shared" si="1"/>
        <v>361613.54000000004</v>
      </c>
      <c r="G28" s="65">
        <f t="shared" si="1"/>
        <v>0</v>
      </c>
      <c r="H28" s="65">
        <f t="shared" si="1"/>
        <v>0</v>
      </c>
      <c r="I28" s="65"/>
      <c r="J28" s="25"/>
      <c r="K28" s="26"/>
      <c r="M28" s="46"/>
    </row>
    <row r="29" spans="1:13" s="21" customFormat="1" ht="24" x14ac:dyDescent="0.2">
      <c r="A29" s="54">
        <v>2111</v>
      </c>
      <c r="B29" s="64"/>
      <c r="C29" s="49" t="s">
        <v>42</v>
      </c>
      <c r="D29" s="61">
        <f t="shared" si="0"/>
        <v>3000</v>
      </c>
      <c r="E29" s="76">
        <f>3000</f>
        <v>3000</v>
      </c>
      <c r="F29" s="85"/>
      <c r="G29" s="99"/>
      <c r="H29" s="93"/>
      <c r="I29" s="264"/>
      <c r="J29" s="30"/>
    </row>
    <row r="30" spans="1:13" s="21" customFormat="1" ht="24" x14ac:dyDescent="0.2">
      <c r="A30" s="54">
        <v>2121</v>
      </c>
      <c r="B30" s="64"/>
      <c r="C30" s="49" t="s">
        <v>123</v>
      </c>
      <c r="D30" s="61">
        <f t="shared" si="0"/>
        <v>0</v>
      </c>
      <c r="E30" s="77"/>
      <c r="F30" s="85"/>
      <c r="G30" s="99"/>
      <c r="H30" s="102"/>
      <c r="I30" s="265"/>
      <c r="J30" s="30"/>
    </row>
    <row r="31" spans="1:13" s="21" customFormat="1" ht="36" x14ac:dyDescent="0.2">
      <c r="A31" s="54">
        <v>2141</v>
      </c>
      <c r="B31" s="64"/>
      <c r="C31" s="49" t="s">
        <v>43</v>
      </c>
      <c r="D31" s="61">
        <f t="shared" si="0"/>
        <v>0</v>
      </c>
      <c r="E31" s="77"/>
      <c r="F31" s="86"/>
      <c r="G31" s="100"/>
      <c r="H31" s="94"/>
      <c r="I31" s="266"/>
      <c r="J31" s="30"/>
    </row>
    <row r="32" spans="1:13" s="21" customFormat="1" ht="14.25" x14ac:dyDescent="0.2">
      <c r="A32" s="54">
        <v>2151</v>
      </c>
      <c r="B32" s="64"/>
      <c r="C32" s="49" t="s">
        <v>44</v>
      </c>
      <c r="D32" s="61">
        <f t="shared" si="0"/>
        <v>0</v>
      </c>
      <c r="E32" s="77"/>
      <c r="F32" s="85"/>
      <c r="G32" s="100"/>
      <c r="H32" s="103"/>
      <c r="I32" s="267"/>
      <c r="J32" s="30"/>
    </row>
    <row r="33" spans="1:10" s="21" customFormat="1" ht="14.25" x14ac:dyDescent="0.2">
      <c r="A33" s="54">
        <v>2161</v>
      </c>
      <c r="B33" s="64"/>
      <c r="C33" s="49" t="s">
        <v>45</v>
      </c>
      <c r="D33" s="61">
        <f t="shared" si="0"/>
        <v>0</v>
      </c>
      <c r="E33" s="77"/>
      <c r="F33" s="85"/>
      <c r="G33" s="100"/>
      <c r="H33" s="93"/>
      <c r="I33" s="264"/>
      <c r="J33" s="30"/>
    </row>
    <row r="34" spans="1:10" s="21" customFormat="1" ht="14.25" x14ac:dyDescent="0.2">
      <c r="A34" s="54">
        <v>2171</v>
      </c>
      <c r="B34" s="64"/>
      <c r="C34" s="49" t="s">
        <v>46</v>
      </c>
      <c r="D34" s="61">
        <f t="shared" si="0"/>
        <v>0</v>
      </c>
      <c r="E34" s="77"/>
      <c r="F34" s="85"/>
      <c r="G34" s="99"/>
      <c r="H34" s="93"/>
      <c r="I34" s="264"/>
      <c r="J34" s="30"/>
    </row>
    <row r="35" spans="1:10" s="21" customFormat="1" ht="24" x14ac:dyDescent="0.2">
      <c r="A35" s="54">
        <v>2211</v>
      </c>
      <c r="B35" s="64"/>
      <c r="C35" s="49" t="s">
        <v>47</v>
      </c>
      <c r="D35" s="61">
        <f t="shared" si="0"/>
        <v>0</v>
      </c>
      <c r="E35" s="77"/>
      <c r="F35" s="86"/>
      <c r="G35" s="100"/>
      <c r="H35" s="94"/>
      <c r="I35" s="266"/>
      <c r="J35" s="30"/>
    </row>
    <row r="36" spans="1:10" s="21" customFormat="1" ht="14.25" x14ac:dyDescent="0.2">
      <c r="A36" s="54">
        <v>2221</v>
      </c>
      <c r="B36" s="64"/>
      <c r="C36" s="49" t="s">
        <v>48</v>
      </c>
      <c r="D36" s="61">
        <f t="shared" si="0"/>
        <v>0</v>
      </c>
      <c r="E36" s="77"/>
      <c r="F36" s="85"/>
      <c r="G36" s="99"/>
      <c r="H36" s="93"/>
      <c r="I36" s="264"/>
      <c r="J36" s="30"/>
    </row>
    <row r="37" spans="1:10" s="21" customFormat="1" ht="14.25" x14ac:dyDescent="0.2">
      <c r="A37" s="54">
        <v>2231</v>
      </c>
      <c r="B37" s="64"/>
      <c r="C37" s="49" t="s">
        <v>49</v>
      </c>
      <c r="D37" s="61">
        <f t="shared" si="0"/>
        <v>12128.19</v>
      </c>
      <c r="E37" s="77">
        <v>5500</v>
      </c>
      <c r="F37" s="85">
        <v>5500</v>
      </c>
      <c r="G37" s="99"/>
      <c r="H37" s="93"/>
      <c r="I37" s="264">
        <v>1128.19</v>
      </c>
      <c r="J37" s="30"/>
    </row>
    <row r="38" spans="1:10" s="21" customFormat="1" ht="14.25" x14ac:dyDescent="0.2">
      <c r="A38" s="54">
        <v>2411</v>
      </c>
      <c r="B38" s="64"/>
      <c r="C38" s="49" t="s">
        <v>50</v>
      </c>
      <c r="D38" s="61">
        <f t="shared" si="0"/>
        <v>0</v>
      </c>
      <c r="E38" s="77"/>
      <c r="F38" s="85"/>
      <c r="G38" s="99"/>
      <c r="H38" s="93"/>
      <c r="I38" s="264"/>
      <c r="J38" s="30"/>
    </row>
    <row r="39" spans="1:10" s="21" customFormat="1" ht="14.25" x14ac:dyDescent="0.2">
      <c r="A39" s="54">
        <v>2421</v>
      </c>
      <c r="B39" s="64"/>
      <c r="C39" s="49" t="s">
        <v>51</v>
      </c>
      <c r="D39" s="61">
        <f t="shared" si="0"/>
        <v>0</v>
      </c>
      <c r="E39" s="77"/>
      <c r="F39" s="85"/>
      <c r="G39" s="99"/>
      <c r="H39" s="93"/>
      <c r="I39" s="264"/>
      <c r="J39" s="30"/>
    </row>
    <row r="40" spans="1:10" s="21" customFormat="1" ht="14.25" x14ac:dyDescent="0.2">
      <c r="A40" s="54">
        <v>2431</v>
      </c>
      <c r="B40" s="64"/>
      <c r="C40" s="49" t="s">
        <v>52</v>
      </c>
      <c r="D40" s="61">
        <f t="shared" si="0"/>
        <v>0</v>
      </c>
      <c r="E40" s="77"/>
      <c r="F40" s="85"/>
      <c r="G40" s="99"/>
      <c r="H40" s="93"/>
      <c r="I40" s="264"/>
      <c r="J40" s="30"/>
    </row>
    <row r="41" spans="1:10" s="21" customFormat="1" ht="14.25" x14ac:dyDescent="0.2">
      <c r="A41" s="54">
        <v>2441</v>
      </c>
      <c r="B41" s="64"/>
      <c r="C41" s="49" t="s">
        <v>53</v>
      </c>
      <c r="D41" s="61">
        <f t="shared" si="0"/>
        <v>0</v>
      </c>
      <c r="E41" s="77"/>
      <c r="F41" s="85"/>
      <c r="G41" s="99"/>
      <c r="H41" s="93"/>
      <c r="I41" s="264"/>
      <c r="J41" s="30"/>
    </row>
    <row r="42" spans="1:10" s="21" customFormat="1" ht="14.25" x14ac:dyDescent="0.2">
      <c r="A42" s="54">
        <v>2451</v>
      </c>
      <c r="B42" s="64"/>
      <c r="C42" s="49" t="s">
        <v>54</v>
      </c>
      <c r="D42" s="61">
        <f t="shared" si="0"/>
        <v>0</v>
      </c>
      <c r="E42" s="77"/>
      <c r="F42" s="85"/>
      <c r="G42" s="99"/>
      <c r="H42" s="93"/>
      <c r="I42" s="264"/>
      <c r="J42" s="30"/>
    </row>
    <row r="43" spans="1:10" s="21" customFormat="1" ht="14.25" x14ac:dyDescent="0.2">
      <c r="A43" s="54">
        <v>2461</v>
      </c>
      <c r="B43" s="64"/>
      <c r="C43" s="49" t="s">
        <v>55</v>
      </c>
      <c r="D43" s="61">
        <f t="shared" si="0"/>
        <v>0</v>
      </c>
      <c r="E43" s="77"/>
      <c r="F43" s="85"/>
      <c r="G43" s="99"/>
      <c r="H43" s="93"/>
      <c r="I43" s="264"/>
      <c r="J43" s="30"/>
    </row>
    <row r="44" spans="1:10" s="21" customFormat="1" ht="14.25" x14ac:dyDescent="0.2">
      <c r="A44" s="55">
        <v>2471</v>
      </c>
      <c r="B44" s="31"/>
      <c r="C44" s="49" t="s">
        <v>56</v>
      </c>
      <c r="D44" s="61">
        <f t="shared" si="0"/>
        <v>5000</v>
      </c>
      <c r="E44" s="77"/>
      <c r="F44" s="85"/>
      <c r="G44" s="99"/>
      <c r="H44" s="93">
        <v>5000</v>
      </c>
      <c r="I44" s="264"/>
      <c r="J44" s="30"/>
    </row>
    <row r="45" spans="1:10" s="21" customFormat="1" ht="14.25" x14ac:dyDescent="0.2">
      <c r="A45" s="55">
        <v>2481</v>
      </c>
      <c r="B45" s="31"/>
      <c r="C45" s="49" t="s">
        <v>57</v>
      </c>
      <c r="D45" s="61">
        <f t="shared" si="0"/>
        <v>0</v>
      </c>
      <c r="E45" s="77"/>
      <c r="F45" s="86"/>
      <c r="G45" s="99"/>
      <c r="H45" s="93"/>
      <c r="I45" s="264"/>
      <c r="J45" s="30"/>
    </row>
    <row r="46" spans="1:10" s="21" customFormat="1" ht="24" x14ac:dyDescent="0.2">
      <c r="A46" s="54">
        <v>2491</v>
      </c>
      <c r="B46" s="64"/>
      <c r="C46" s="49" t="s">
        <v>58</v>
      </c>
      <c r="D46" s="61">
        <f t="shared" si="0"/>
        <v>0</v>
      </c>
      <c r="E46" s="77"/>
      <c r="F46" s="86"/>
      <c r="G46" s="100"/>
      <c r="H46" s="94"/>
      <c r="I46" s="266"/>
      <c r="J46" s="30"/>
    </row>
    <row r="47" spans="1:10" s="21" customFormat="1" ht="14.25" x14ac:dyDescent="0.2">
      <c r="A47" s="54">
        <v>2511</v>
      </c>
      <c r="B47" s="64"/>
      <c r="C47" s="49" t="s">
        <v>59</v>
      </c>
      <c r="D47" s="61">
        <f t="shared" si="0"/>
        <v>21904.26</v>
      </c>
      <c r="E47" s="77">
        <v>10000</v>
      </c>
      <c r="F47" s="86">
        <v>10000</v>
      </c>
      <c r="G47" s="100"/>
      <c r="H47" s="93"/>
      <c r="I47" s="264">
        <v>1904.26</v>
      </c>
      <c r="J47" s="30"/>
    </row>
    <row r="48" spans="1:10" s="21" customFormat="1" ht="14.25" x14ac:dyDescent="0.2">
      <c r="A48" s="54">
        <v>2521</v>
      </c>
      <c r="B48" s="64"/>
      <c r="C48" s="49" t="s">
        <v>60</v>
      </c>
      <c r="D48" s="61">
        <f t="shared" si="0"/>
        <v>0</v>
      </c>
      <c r="E48" s="77"/>
      <c r="F48" s="86"/>
      <c r="G48" s="100"/>
      <c r="H48" s="94"/>
      <c r="I48" s="266"/>
      <c r="J48" s="30"/>
    </row>
    <row r="49" spans="1:10" s="21" customFormat="1" ht="14.25" x14ac:dyDescent="0.2">
      <c r="A49" s="54">
        <v>2531</v>
      </c>
      <c r="B49" s="64"/>
      <c r="C49" s="49" t="s">
        <v>61</v>
      </c>
      <c r="D49" s="61">
        <f t="shared" si="0"/>
        <v>0</v>
      </c>
      <c r="E49" s="77"/>
      <c r="F49" s="85"/>
      <c r="G49" s="99"/>
      <c r="H49" s="93"/>
      <c r="I49" s="264"/>
      <c r="J49" s="30"/>
    </row>
    <row r="50" spans="1:10" s="21" customFormat="1" ht="24" x14ac:dyDescent="0.2">
      <c r="A50" s="54">
        <v>2541</v>
      </c>
      <c r="B50" s="64"/>
      <c r="C50" s="49" t="s">
        <v>62</v>
      </c>
      <c r="D50" s="61">
        <f t="shared" si="0"/>
        <v>0</v>
      </c>
      <c r="E50" s="77"/>
      <c r="F50" s="85"/>
      <c r="G50" s="99"/>
      <c r="H50" s="93"/>
      <c r="I50" s="264"/>
      <c r="J50" s="30"/>
    </row>
    <row r="51" spans="1:10" s="21" customFormat="1" ht="24" x14ac:dyDescent="0.2">
      <c r="A51" s="54">
        <v>2551</v>
      </c>
      <c r="B51" s="64"/>
      <c r="C51" s="49" t="s">
        <v>63</v>
      </c>
      <c r="D51" s="61">
        <f t="shared" si="0"/>
        <v>31740.33</v>
      </c>
      <c r="E51" s="77">
        <v>15000</v>
      </c>
      <c r="F51" s="86"/>
      <c r="G51" s="99"/>
      <c r="H51" s="93">
        <v>10000</v>
      </c>
      <c r="I51" s="264">
        <v>6740.33</v>
      </c>
      <c r="J51" s="30"/>
    </row>
    <row r="52" spans="1:10" s="21" customFormat="1" ht="14.25" x14ac:dyDescent="0.2">
      <c r="A52" s="54">
        <v>2561</v>
      </c>
      <c r="B52" s="64"/>
      <c r="C52" s="49" t="s">
        <v>64</v>
      </c>
      <c r="D52" s="61">
        <f t="shared" si="0"/>
        <v>0</v>
      </c>
      <c r="E52" s="77"/>
      <c r="F52" s="85"/>
      <c r="G52" s="99"/>
      <c r="H52" s="93"/>
      <c r="I52" s="264"/>
      <c r="J52" s="30"/>
    </row>
    <row r="53" spans="1:10" s="21" customFormat="1" ht="14.25" x14ac:dyDescent="0.2">
      <c r="A53" s="54">
        <v>2591</v>
      </c>
      <c r="B53" s="64"/>
      <c r="C53" s="49" t="s">
        <v>65</v>
      </c>
      <c r="D53" s="61">
        <f t="shared" si="0"/>
        <v>24422.260000000002</v>
      </c>
      <c r="E53" s="77">
        <v>10000</v>
      </c>
      <c r="F53" s="85">
        <v>10000</v>
      </c>
      <c r="G53" s="99"/>
      <c r="H53" s="93"/>
      <c r="I53" s="264">
        <v>4422.26</v>
      </c>
      <c r="J53" s="30"/>
    </row>
    <row r="54" spans="1:10" s="21" customFormat="1" ht="14.25" x14ac:dyDescent="0.2">
      <c r="A54" s="54">
        <v>2611</v>
      </c>
      <c r="B54" s="64"/>
      <c r="C54" s="49" t="s">
        <v>66</v>
      </c>
      <c r="D54" s="61">
        <f t="shared" si="0"/>
        <v>0</v>
      </c>
      <c r="E54" s="77"/>
      <c r="F54" s="86"/>
      <c r="G54" s="100"/>
      <c r="H54" s="94"/>
      <c r="I54" s="266"/>
      <c r="J54" s="30"/>
    </row>
    <row r="55" spans="1:10" s="21" customFormat="1" ht="14.25" x14ac:dyDescent="0.2">
      <c r="A55" s="54">
        <v>2612</v>
      </c>
      <c r="B55" s="64"/>
      <c r="C55" s="49" t="s">
        <v>67</v>
      </c>
      <c r="D55" s="61">
        <f t="shared" si="0"/>
        <v>0</v>
      </c>
      <c r="E55" s="77"/>
      <c r="F55" s="86"/>
      <c r="G55" s="99"/>
      <c r="H55" s="93"/>
      <c r="I55" s="264"/>
      <c r="J55" s="30"/>
    </row>
    <row r="56" spans="1:10" s="21" customFormat="1" ht="14.25" x14ac:dyDescent="0.2">
      <c r="A56" s="54">
        <v>2711</v>
      </c>
      <c r="B56" s="64"/>
      <c r="C56" s="49" t="s">
        <v>68</v>
      </c>
      <c r="D56" s="61">
        <f t="shared" si="0"/>
        <v>0</v>
      </c>
      <c r="E56" s="77"/>
      <c r="F56" s="85"/>
      <c r="G56" s="99"/>
      <c r="H56" s="93"/>
      <c r="I56" s="264"/>
      <c r="J56" s="30"/>
    </row>
    <row r="57" spans="1:10" s="21" customFormat="1" ht="14.25" x14ac:dyDescent="0.2">
      <c r="A57" s="54">
        <v>2721</v>
      </c>
      <c r="B57" s="64"/>
      <c r="C57" s="49" t="s">
        <v>69</v>
      </c>
      <c r="D57" s="61">
        <f t="shared" si="0"/>
        <v>5000</v>
      </c>
      <c r="E57" s="77">
        <v>2500</v>
      </c>
      <c r="F57" s="85">
        <v>2500</v>
      </c>
      <c r="G57" s="99"/>
      <c r="H57" s="93"/>
      <c r="I57" s="264"/>
      <c r="J57" s="30"/>
    </row>
    <row r="58" spans="1:10" s="21" customFormat="1" ht="14.25" x14ac:dyDescent="0.2">
      <c r="A58" s="54">
        <v>2731</v>
      </c>
      <c r="B58" s="64"/>
      <c r="C58" s="49" t="s">
        <v>70</v>
      </c>
      <c r="D58" s="61">
        <f t="shared" si="0"/>
        <v>0</v>
      </c>
      <c r="E58" s="77"/>
      <c r="F58" s="85"/>
      <c r="G58" s="99"/>
      <c r="H58" s="93"/>
      <c r="I58" s="264"/>
      <c r="J58" s="30"/>
    </row>
    <row r="59" spans="1:10" s="21" customFormat="1" ht="14.25" x14ac:dyDescent="0.2">
      <c r="A59" s="54">
        <v>2911</v>
      </c>
      <c r="B59" s="64"/>
      <c r="C59" s="51" t="s">
        <v>71</v>
      </c>
      <c r="D59" s="61">
        <f t="shared" si="0"/>
        <v>0</v>
      </c>
      <c r="E59" s="77"/>
      <c r="F59" s="85"/>
      <c r="G59" s="99"/>
      <c r="H59" s="93"/>
      <c r="I59" s="264"/>
      <c r="J59" s="30"/>
    </row>
    <row r="60" spans="1:10" s="21" customFormat="1" ht="24" x14ac:dyDescent="0.2">
      <c r="A60" s="54">
        <v>2921</v>
      </c>
      <c r="B60" s="64"/>
      <c r="C60" s="51" t="s">
        <v>72</v>
      </c>
      <c r="D60" s="61">
        <f t="shared" si="0"/>
        <v>0</v>
      </c>
      <c r="E60" s="77"/>
      <c r="F60" s="85"/>
      <c r="G60" s="99"/>
      <c r="H60" s="93"/>
      <c r="I60" s="264"/>
      <c r="J60" s="30"/>
    </row>
    <row r="61" spans="1:10" s="21" customFormat="1" ht="36" x14ac:dyDescent="0.2">
      <c r="A61" s="54">
        <v>2931</v>
      </c>
      <c r="B61" s="64"/>
      <c r="C61" s="51" t="s">
        <v>73</v>
      </c>
      <c r="D61" s="61">
        <f t="shared" si="0"/>
        <v>0</v>
      </c>
      <c r="E61" s="77"/>
      <c r="F61" s="85"/>
      <c r="G61" s="99"/>
      <c r="H61" s="93"/>
      <c r="I61" s="264"/>
      <c r="J61" s="30"/>
    </row>
    <row r="62" spans="1:10" s="21" customFormat="1" ht="36" x14ac:dyDescent="0.2">
      <c r="A62" s="54">
        <v>2941</v>
      </c>
      <c r="B62" s="64"/>
      <c r="C62" s="51" t="s">
        <v>74</v>
      </c>
      <c r="D62" s="61">
        <f t="shared" si="0"/>
        <v>0</v>
      </c>
      <c r="E62" s="77"/>
      <c r="F62" s="85"/>
      <c r="G62" s="99"/>
      <c r="H62" s="93"/>
      <c r="I62" s="264"/>
      <c r="J62" s="30"/>
    </row>
    <row r="63" spans="1:10" s="21" customFormat="1" ht="36" x14ac:dyDescent="0.2">
      <c r="A63" s="54">
        <v>2951</v>
      </c>
      <c r="B63" s="64"/>
      <c r="C63" s="51" t="s">
        <v>75</v>
      </c>
      <c r="D63" s="61">
        <f t="shared" si="0"/>
        <v>12000</v>
      </c>
      <c r="E63" s="77">
        <v>6000</v>
      </c>
      <c r="F63" s="86">
        <v>6000</v>
      </c>
      <c r="G63" s="99"/>
      <c r="H63" s="93"/>
      <c r="I63" s="264"/>
      <c r="J63" s="30"/>
    </row>
    <row r="64" spans="1:10" s="21" customFormat="1" ht="24" x14ac:dyDescent="0.2">
      <c r="A64" s="54">
        <v>2961</v>
      </c>
      <c r="B64" s="64"/>
      <c r="C64" s="51" t="s">
        <v>76</v>
      </c>
      <c r="D64" s="61">
        <f t="shared" si="0"/>
        <v>0</v>
      </c>
      <c r="E64" s="78"/>
      <c r="F64" s="87"/>
      <c r="G64" s="100"/>
      <c r="H64" s="94"/>
      <c r="I64" s="266"/>
      <c r="J64" s="30"/>
    </row>
    <row r="65" spans="1:11" s="21" customFormat="1" ht="24" x14ac:dyDescent="0.2">
      <c r="A65" s="54">
        <v>2981</v>
      </c>
      <c r="B65" s="64"/>
      <c r="C65" s="51" t="s">
        <v>77</v>
      </c>
      <c r="D65" s="61">
        <f t="shared" si="0"/>
        <v>0</v>
      </c>
      <c r="E65" s="77"/>
      <c r="F65" s="85"/>
      <c r="G65" s="99"/>
      <c r="H65" s="93"/>
      <c r="I65" s="264"/>
      <c r="J65" s="30"/>
    </row>
    <row r="66" spans="1:11" s="21" customFormat="1" ht="24" x14ac:dyDescent="0.2">
      <c r="A66" s="54">
        <v>2991</v>
      </c>
      <c r="B66" s="64"/>
      <c r="C66" s="51" t="s">
        <v>78</v>
      </c>
      <c r="D66" s="61">
        <f t="shared" si="0"/>
        <v>0</v>
      </c>
      <c r="E66" s="77"/>
      <c r="F66" s="85"/>
      <c r="G66" s="99"/>
      <c r="H66" s="93"/>
      <c r="I66" s="264"/>
      <c r="J66" s="30"/>
    </row>
    <row r="67" spans="1:11" s="11" customFormat="1" ht="25.5" x14ac:dyDescent="0.2">
      <c r="A67" s="22"/>
      <c r="B67" s="22"/>
      <c r="C67" s="62" t="s">
        <v>17</v>
      </c>
      <c r="D67" s="66">
        <f>SUM(D29:D66)</f>
        <v>115195.04000000001</v>
      </c>
      <c r="E67" s="66">
        <f t="shared" ref="E67:I67" si="2">SUM(E29:E66)</f>
        <v>52000</v>
      </c>
      <c r="F67" s="66">
        <f t="shared" si="2"/>
        <v>34000</v>
      </c>
      <c r="G67" s="66">
        <f t="shared" si="2"/>
        <v>0</v>
      </c>
      <c r="H67" s="66">
        <f t="shared" si="2"/>
        <v>15000</v>
      </c>
      <c r="I67" s="66">
        <f t="shared" si="2"/>
        <v>14195.039999999999</v>
      </c>
      <c r="J67" s="25"/>
      <c r="K67" s="26"/>
    </row>
    <row r="68" spans="1:11" s="21" customFormat="1" ht="14.25" x14ac:dyDescent="0.2">
      <c r="A68" s="54">
        <v>3111</v>
      </c>
      <c r="B68" s="64"/>
      <c r="C68" s="49" t="s">
        <v>80</v>
      </c>
      <c r="D68" s="61">
        <f t="shared" si="0"/>
        <v>0</v>
      </c>
      <c r="E68" s="77"/>
      <c r="F68" s="86"/>
      <c r="G68" s="100"/>
      <c r="H68" s="94"/>
      <c r="I68" s="266"/>
      <c r="J68" s="30"/>
    </row>
    <row r="69" spans="1:11" s="21" customFormat="1" ht="14.25" x14ac:dyDescent="0.2">
      <c r="A69" s="54">
        <v>3121</v>
      </c>
      <c r="B69" s="64"/>
      <c r="C69" s="49" t="s">
        <v>81</v>
      </c>
      <c r="D69" s="61">
        <f t="shared" si="0"/>
        <v>20000</v>
      </c>
      <c r="E69" s="77">
        <v>10000</v>
      </c>
      <c r="F69" s="86">
        <v>10000</v>
      </c>
      <c r="G69" s="99"/>
      <c r="H69" s="93"/>
      <c r="I69" s="264"/>
      <c r="J69" s="30"/>
    </row>
    <row r="70" spans="1:11" s="21" customFormat="1" ht="14.25" x14ac:dyDescent="0.2">
      <c r="A70" s="54">
        <v>3141</v>
      </c>
      <c r="B70" s="64"/>
      <c r="C70" s="49" t="s">
        <v>82</v>
      </c>
      <c r="D70" s="61">
        <f t="shared" si="0"/>
        <v>0</v>
      </c>
      <c r="E70" s="79"/>
      <c r="F70" s="85"/>
      <c r="G70" s="99"/>
      <c r="H70" s="93"/>
      <c r="I70" s="264"/>
      <c r="J70" s="30"/>
    </row>
    <row r="71" spans="1:11" s="21" customFormat="1" ht="14.25" x14ac:dyDescent="0.2">
      <c r="A71" s="54">
        <v>3151</v>
      </c>
      <c r="B71" s="64"/>
      <c r="C71" s="49" t="s">
        <v>83</v>
      </c>
      <c r="D71" s="61">
        <f t="shared" si="0"/>
        <v>0</v>
      </c>
      <c r="E71" s="77"/>
      <c r="F71" s="86"/>
      <c r="G71" s="100"/>
      <c r="H71" s="94"/>
      <c r="I71" s="266"/>
      <c r="J71" s="30"/>
    </row>
    <row r="72" spans="1:11" s="21" customFormat="1" ht="24" x14ac:dyDescent="0.2">
      <c r="A72" s="54">
        <v>3171</v>
      </c>
      <c r="B72" s="64"/>
      <c r="C72" s="49" t="s">
        <v>84</v>
      </c>
      <c r="D72" s="61">
        <f t="shared" si="0"/>
        <v>0</v>
      </c>
      <c r="E72" s="77"/>
      <c r="F72" s="86"/>
      <c r="G72" s="100"/>
      <c r="H72" s="94"/>
      <c r="I72" s="266"/>
      <c r="J72" s="30"/>
    </row>
    <row r="73" spans="1:11" s="21" customFormat="1" ht="14.25" x14ac:dyDescent="0.2">
      <c r="A73" s="54">
        <v>3181</v>
      </c>
      <c r="B73" s="64"/>
      <c r="C73" s="49" t="s">
        <v>85</v>
      </c>
      <c r="D73" s="61">
        <f t="shared" si="0"/>
        <v>0</v>
      </c>
      <c r="E73" s="77"/>
      <c r="F73" s="86"/>
      <c r="G73" s="100"/>
      <c r="H73" s="94"/>
      <c r="I73" s="266"/>
      <c r="J73" s="30"/>
    </row>
    <row r="74" spans="1:11" s="21" customFormat="1" ht="14.25" x14ac:dyDescent="0.2">
      <c r="A74" s="54">
        <v>3221</v>
      </c>
      <c r="B74" s="64"/>
      <c r="C74" s="49" t="s">
        <v>86</v>
      </c>
      <c r="D74" s="61">
        <f t="shared" si="0"/>
        <v>0</v>
      </c>
      <c r="E74" s="77"/>
      <c r="F74" s="86"/>
      <c r="G74" s="100"/>
      <c r="H74" s="94"/>
      <c r="I74" s="266"/>
      <c r="J74" s="30"/>
    </row>
    <row r="75" spans="1:11" s="21" customFormat="1" ht="14.25" x14ac:dyDescent="0.2">
      <c r="A75" s="56">
        <v>3231</v>
      </c>
      <c r="B75" s="32"/>
      <c r="C75" s="50" t="s">
        <v>87</v>
      </c>
      <c r="D75" s="61">
        <f t="shared" si="0"/>
        <v>0</v>
      </c>
      <c r="E75" s="77"/>
      <c r="F75" s="85"/>
      <c r="G75" s="99"/>
      <c r="H75" s="93"/>
      <c r="I75" s="264"/>
      <c r="J75" s="30"/>
    </row>
    <row r="76" spans="1:11" s="21" customFormat="1" ht="24" x14ac:dyDescent="0.2">
      <c r="A76" s="54">
        <v>3261</v>
      </c>
      <c r="B76" s="64"/>
      <c r="C76" s="49" t="s">
        <v>88</v>
      </c>
      <c r="D76" s="61">
        <f t="shared" si="0"/>
        <v>0</v>
      </c>
      <c r="E76" s="77"/>
      <c r="F76" s="85"/>
      <c r="G76" s="99"/>
      <c r="H76" s="94"/>
      <c r="I76" s="266"/>
      <c r="J76" s="30"/>
    </row>
    <row r="77" spans="1:11" s="21" customFormat="1" ht="24" x14ac:dyDescent="0.2">
      <c r="A77" s="54">
        <v>3311</v>
      </c>
      <c r="B77" s="64"/>
      <c r="C77" s="49" t="s">
        <v>89</v>
      </c>
      <c r="D77" s="61">
        <f t="shared" si="0"/>
        <v>0</v>
      </c>
      <c r="E77" s="77"/>
      <c r="F77" s="86"/>
      <c r="G77" s="100"/>
      <c r="H77" s="94"/>
      <c r="I77" s="266"/>
      <c r="J77" s="30"/>
    </row>
    <row r="78" spans="1:11" s="21" customFormat="1" ht="24" x14ac:dyDescent="0.2">
      <c r="A78" s="54">
        <v>3331</v>
      </c>
      <c r="B78" s="64"/>
      <c r="C78" s="49" t="s">
        <v>90</v>
      </c>
      <c r="D78" s="61">
        <f t="shared" ref="D78:D119" si="3">SUM(E78:I78)</f>
        <v>0</v>
      </c>
      <c r="E78" s="77"/>
      <c r="F78" s="86"/>
      <c r="G78" s="100"/>
      <c r="H78" s="94"/>
      <c r="I78" s="266"/>
      <c r="J78" s="30"/>
    </row>
    <row r="79" spans="1:11" s="21" customFormat="1" ht="14.25" x14ac:dyDescent="0.2">
      <c r="A79" s="54">
        <v>3341</v>
      </c>
      <c r="B79" s="64"/>
      <c r="C79" s="49" t="s">
        <v>91</v>
      </c>
      <c r="D79" s="61">
        <f t="shared" si="3"/>
        <v>0</v>
      </c>
      <c r="E79" s="77"/>
      <c r="F79" s="85"/>
      <c r="G79" s="99"/>
      <c r="H79" s="93"/>
      <c r="I79" s="264"/>
      <c r="J79" s="30"/>
    </row>
    <row r="80" spans="1:11" s="21" customFormat="1" ht="14.25" x14ac:dyDescent="0.2">
      <c r="A80" s="54">
        <v>3342</v>
      </c>
      <c r="B80" s="64"/>
      <c r="C80" s="49" t="s">
        <v>92</v>
      </c>
      <c r="D80" s="61">
        <f t="shared" si="3"/>
        <v>10000</v>
      </c>
      <c r="E80" s="77"/>
      <c r="F80" s="85">
        <v>10000</v>
      </c>
      <c r="G80" s="99"/>
      <c r="H80" s="93"/>
      <c r="I80" s="264"/>
      <c r="J80" s="30"/>
    </row>
    <row r="81" spans="1:10" s="21" customFormat="1" ht="24" x14ac:dyDescent="0.2">
      <c r="A81" s="54">
        <v>3361</v>
      </c>
      <c r="B81" s="64"/>
      <c r="C81" s="49" t="s">
        <v>93</v>
      </c>
      <c r="D81" s="61">
        <f t="shared" si="3"/>
        <v>0</v>
      </c>
      <c r="E81" s="77"/>
      <c r="F81" s="85"/>
      <c r="G81" s="99"/>
      <c r="H81" s="93"/>
      <c r="I81" s="264"/>
      <c r="J81" s="30"/>
    </row>
    <row r="82" spans="1:10" s="21" customFormat="1" ht="14.25" x14ac:dyDescent="0.2">
      <c r="A82" s="54">
        <v>3362</v>
      </c>
      <c r="B82" s="64"/>
      <c r="C82" s="49" t="s">
        <v>94</v>
      </c>
      <c r="D82" s="61">
        <f t="shared" si="3"/>
        <v>0</v>
      </c>
      <c r="E82" s="77"/>
      <c r="F82" s="88"/>
      <c r="G82" s="99"/>
      <c r="H82" s="93"/>
      <c r="I82" s="264"/>
      <c r="J82" s="30"/>
    </row>
    <row r="83" spans="1:10" s="21" customFormat="1" ht="14.25" x14ac:dyDescent="0.2">
      <c r="A83" s="54">
        <v>3381</v>
      </c>
      <c r="B83" s="64"/>
      <c r="C83" s="49" t="s">
        <v>95</v>
      </c>
      <c r="D83" s="61">
        <f t="shared" si="3"/>
        <v>0</v>
      </c>
      <c r="E83" s="77"/>
      <c r="F83" s="85"/>
      <c r="G83" s="99"/>
      <c r="H83" s="93"/>
      <c r="I83" s="264"/>
      <c r="J83" s="30"/>
    </row>
    <row r="84" spans="1:10" s="21" customFormat="1" ht="24" x14ac:dyDescent="0.2">
      <c r="A84" s="54">
        <v>3391</v>
      </c>
      <c r="B84" s="64"/>
      <c r="C84" s="49" t="s">
        <v>96</v>
      </c>
      <c r="D84" s="61">
        <f t="shared" si="3"/>
        <v>64000</v>
      </c>
      <c r="E84" s="77"/>
      <c r="F84" s="86"/>
      <c r="G84" s="100"/>
      <c r="H84" s="94"/>
      <c r="I84" s="266">
        <v>64000</v>
      </c>
      <c r="J84" s="30"/>
    </row>
    <row r="85" spans="1:10" s="21" customFormat="1" ht="14.25" x14ac:dyDescent="0.2">
      <c r="A85" s="54">
        <v>3411</v>
      </c>
      <c r="B85" s="64"/>
      <c r="C85" s="49" t="s">
        <v>97</v>
      </c>
      <c r="D85" s="61">
        <f t="shared" si="3"/>
        <v>0</v>
      </c>
      <c r="E85" s="77"/>
      <c r="F85" s="86"/>
      <c r="G85" s="100"/>
      <c r="H85" s="94"/>
      <c r="I85" s="266"/>
      <c r="J85" s="30"/>
    </row>
    <row r="86" spans="1:10" s="21" customFormat="1" ht="14.25" x14ac:dyDescent="0.2">
      <c r="A86" s="54">
        <v>3451</v>
      </c>
      <c r="B86" s="64"/>
      <c r="C86" s="49" t="s">
        <v>98</v>
      </c>
      <c r="D86" s="61">
        <f t="shared" si="3"/>
        <v>0</v>
      </c>
      <c r="E86" s="77"/>
      <c r="F86" s="85"/>
      <c r="G86" s="99"/>
      <c r="H86" s="93"/>
      <c r="I86" s="264"/>
      <c r="J86" s="30"/>
    </row>
    <row r="87" spans="1:10" s="21" customFormat="1" ht="14.25" x14ac:dyDescent="0.2">
      <c r="A87" s="54">
        <v>3471</v>
      </c>
      <c r="B87" s="64"/>
      <c r="C87" s="49" t="s">
        <v>99</v>
      </c>
      <c r="D87" s="61">
        <f t="shared" si="3"/>
        <v>0</v>
      </c>
      <c r="E87" s="77"/>
      <c r="F87" s="85"/>
      <c r="G87" s="99"/>
      <c r="H87" s="93"/>
      <c r="I87" s="264"/>
      <c r="J87" s="30"/>
    </row>
    <row r="88" spans="1:10" s="21" customFormat="1" ht="24" x14ac:dyDescent="0.2">
      <c r="A88" s="54">
        <v>3511</v>
      </c>
      <c r="B88" s="64"/>
      <c r="C88" s="49" t="s">
        <v>100</v>
      </c>
      <c r="D88" s="61">
        <f t="shared" si="3"/>
        <v>0</v>
      </c>
      <c r="E88" s="77"/>
      <c r="F88" s="85"/>
      <c r="G88" s="99"/>
      <c r="H88" s="93"/>
      <c r="I88" s="264"/>
      <c r="J88" s="30"/>
    </row>
    <row r="89" spans="1:10" s="34" customFormat="1" ht="36" x14ac:dyDescent="0.2">
      <c r="A89" s="54">
        <v>3531</v>
      </c>
      <c r="B89" s="64"/>
      <c r="C89" s="49" t="s">
        <v>101</v>
      </c>
      <c r="D89" s="61">
        <f t="shared" si="3"/>
        <v>0</v>
      </c>
      <c r="E89" s="77"/>
      <c r="F89" s="86"/>
      <c r="G89" s="100"/>
      <c r="H89" s="94"/>
      <c r="I89" s="266"/>
      <c r="J89" s="33"/>
    </row>
    <row r="90" spans="1:10" s="21" customFormat="1" ht="36" x14ac:dyDescent="0.2">
      <c r="A90" s="54">
        <v>3541</v>
      </c>
      <c r="B90" s="64"/>
      <c r="C90" s="49" t="s">
        <v>102</v>
      </c>
      <c r="D90" s="61">
        <f t="shared" si="3"/>
        <v>126000</v>
      </c>
      <c r="E90" s="77"/>
      <c r="F90" s="86">
        <v>120000</v>
      </c>
      <c r="G90" s="137">
        <f>6000</f>
        <v>6000</v>
      </c>
      <c r="H90" s="93"/>
      <c r="I90" s="264"/>
      <c r="J90" s="30"/>
    </row>
    <row r="91" spans="1:10" s="21" customFormat="1" ht="24" x14ac:dyDescent="0.2">
      <c r="A91" s="54">
        <v>3551</v>
      </c>
      <c r="B91" s="64"/>
      <c r="C91" s="49" t="s">
        <v>103</v>
      </c>
      <c r="D91" s="61">
        <f t="shared" si="3"/>
        <v>0</v>
      </c>
      <c r="E91" s="77"/>
      <c r="F91" s="85"/>
      <c r="G91" s="105"/>
      <c r="H91" s="94"/>
      <c r="I91" s="266"/>
      <c r="J91" s="30"/>
    </row>
    <row r="92" spans="1:10" s="21" customFormat="1" ht="24" x14ac:dyDescent="0.2">
      <c r="A92" s="54">
        <v>3571</v>
      </c>
      <c r="B92" s="64"/>
      <c r="C92" s="49" t="s">
        <v>104</v>
      </c>
      <c r="D92" s="61">
        <f t="shared" si="3"/>
        <v>0</v>
      </c>
      <c r="E92" s="77"/>
      <c r="F92" s="88"/>
      <c r="G92" s="105"/>
      <c r="H92" s="93"/>
      <c r="I92" s="264"/>
      <c r="J92" s="30"/>
    </row>
    <row r="93" spans="1:10" s="21" customFormat="1" ht="24" x14ac:dyDescent="0.2">
      <c r="A93" s="54">
        <v>3572</v>
      </c>
      <c r="B93" s="64"/>
      <c r="C93" s="49" t="s">
        <v>105</v>
      </c>
      <c r="D93" s="61">
        <f t="shared" si="3"/>
        <v>0</v>
      </c>
      <c r="E93" s="77"/>
      <c r="F93" s="88"/>
      <c r="G93" s="105"/>
      <c r="H93" s="93"/>
      <c r="I93" s="264"/>
      <c r="J93" s="30"/>
    </row>
    <row r="94" spans="1:10" s="21" customFormat="1" ht="14.25" x14ac:dyDescent="0.2">
      <c r="A94" s="54">
        <v>3581</v>
      </c>
      <c r="B94" s="64"/>
      <c r="C94" s="49" t="s">
        <v>106</v>
      </c>
      <c r="D94" s="61">
        <f t="shared" si="3"/>
        <v>0</v>
      </c>
      <c r="E94" s="77"/>
      <c r="F94" s="85"/>
      <c r="G94" s="99"/>
      <c r="H94" s="93"/>
      <c r="I94" s="264"/>
      <c r="J94" s="30"/>
    </row>
    <row r="95" spans="1:10" s="21" customFormat="1" ht="14.25" x14ac:dyDescent="0.2">
      <c r="A95" s="54">
        <v>3591</v>
      </c>
      <c r="B95" s="64"/>
      <c r="C95" s="49" t="s">
        <v>107</v>
      </c>
      <c r="D95" s="61">
        <f t="shared" si="3"/>
        <v>0</v>
      </c>
      <c r="E95" s="77"/>
      <c r="F95" s="85"/>
      <c r="G95" s="99"/>
      <c r="H95" s="93"/>
      <c r="I95" s="264"/>
      <c r="J95" s="30"/>
    </row>
    <row r="96" spans="1:10" s="21" customFormat="1" ht="40.5" customHeight="1" x14ac:dyDescent="0.2">
      <c r="A96" s="54">
        <v>3621</v>
      </c>
      <c r="B96" s="64"/>
      <c r="C96" s="49" t="s">
        <v>108</v>
      </c>
      <c r="D96" s="61">
        <f t="shared" si="3"/>
        <v>0</v>
      </c>
      <c r="E96" s="77"/>
      <c r="F96" s="86"/>
      <c r="G96" s="100"/>
      <c r="H96" s="93"/>
      <c r="I96" s="264"/>
      <c r="J96" s="30"/>
    </row>
    <row r="97" spans="1:11" s="21" customFormat="1" ht="18.75" customHeight="1" x14ac:dyDescent="0.2">
      <c r="A97" s="54">
        <v>3711</v>
      </c>
      <c r="B97" s="64"/>
      <c r="C97" s="49" t="s">
        <v>109</v>
      </c>
      <c r="D97" s="61">
        <f t="shared" si="3"/>
        <v>0</v>
      </c>
      <c r="E97" s="77"/>
      <c r="F97" s="85"/>
      <c r="G97" s="99"/>
      <c r="H97" s="94"/>
      <c r="I97" s="266"/>
      <c r="J97" s="30"/>
    </row>
    <row r="98" spans="1:11" s="34" customFormat="1" ht="17.25" customHeight="1" x14ac:dyDescent="0.2">
      <c r="A98" s="54">
        <v>3721</v>
      </c>
      <c r="B98" s="64"/>
      <c r="C98" s="49" t="s">
        <v>110</v>
      </c>
      <c r="D98" s="61">
        <f t="shared" si="3"/>
        <v>1000</v>
      </c>
      <c r="E98" s="77"/>
      <c r="F98" s="86"/>
      <c r="G98" s="100">
        <v>1000</v>
      </c>
      <c r="H98" s="94"/>
      <c r="I98" s="266"/>
      <c r="J98" s="33"/>
    </row>
    <row r="99" spans="1:11" s="34" customFormat="1" ht="14.25" x14ac:dyDescent="0.2">
      <c r="A99" s="54">
        <v>3751</v>
      </c>
      <c r="B99" s="64"/>
      <c r="C99" s="49" t="s">
        <v>111</v>
      </c>
      <c r="D99" s="61">
        <f t="shared" si="3"/>
        <v>10000</v>
      </c>
      <c r="E99" s="77"/>
      <c r="F99" s="86"/>
      <c r="G99" s="100">
        <v>10000</v>
      </c>
      <c r="H99" s="94"/>
      <c r="I99" s="266"/>
      <c r="J99" s="33"/>
    </row>
    <row r="100" spans="1:11" s="34" customFormat="1" ht="14.25" x14ac:dyDescent="0.2">
      <c r="A100" s="54">
        <v>3791</v>
      </c>
      <c r="B100" s="64"/>
      <c r="C100" s="49" t="s">
        <v>112</v>
      </c>
      <c r="D100" s="61">
        <f t="shared" si="3"/>
        <v>578.09</v>
      </c>
      <c r="E100" s="77"/>
      <c r="F100" s="86"/>
      <c r="G100" s="100"/>
      <c r="H100" s="94"/>
      <c r="I100" s="266">
        <v>578.09</v>
      </c>
      <c r="J100" s="33"/>
    </row>
    <row r="101" spans="1:11" s="34" customFormat="1" ht="14.25" x14ac:dyDescent="0.2">
      <c r="A101" s="54">
        <v>3821</v>
      </c>
      <c r="B101" s="64"/>
      <c r="C101" s="49" t="s">
        <v>113</v>
      </c>
      <c r="D101" s="61">
        <f t="shared" si="3"/>
        <v>0</v>
      </c>
      <c r="E101" s="77"/>
      <c r="F101" s="86"/>
      <c r="G101" s="100"/>
      <c r="H101" s="94"/>
      <c r="I101" s="266"/>
      <c r="J101" s="33"/>
    </row>
    <row r="102" spans="1:11" s="34" customFormat="1" ht="14.25" x14ac:dyDescent="0.2">
      <c r="A102" s="54">
        <v>3822</v>
      </c>
      <c r="B102" s="64"/>
      <c r="C102" s="49" t="s">
        <v>114</v>
      </c>
      <c r="D102" s="61">
        <f t="shared" si="3"/>
        <v>0</v>
      </c>
      <c r="E102" s="77"/>
      <c r="F102" s="86"/>
      <c r="G102" s="100"/>
      <c r="H102" s="94"/>
      <c r="I102" s="266"/>
      <c r="J102" s="33"/>
    </row>
    <row r="103" spans="1:11" s="34" customFormat="1" ht="14.25" x14ac:dyDescent="0.2">
      <c r="A103" s="54">
        <v>3792</v>
      </c>
      <c r="B103" s="64"/>
      <c r="C103" s="49" t="s">
        <v>115</v>
      </c>
      <c r="D103" s="61">
        <f t="shared" si="3"/>
        <v>2000</v>
      </c>
      <c r="E103" s="77"/>
      <c r="F103" s="86"/>
      <c r="G103" s="100"/>
      <c r="H103" s="94">
        <v>2000</v>
      </c>
      <c r="I103" s="266"/>
      <c r="J103" s="33"/>
    </row>
    <row r="104" spans="1:11" s="34" customFormat="1" ht="14.25" x14ac:dyDescent="0.2">
      <c r="A104" s="54">
        <v>3921</v>
      </c>
      <c r="B104" s="64"/>
      <c r="C104" s="49" t="s">
        <v>116</v>
      </c>
      <c r="D104" s="61">
        <f t="shared" si="3"/>
        <v>0</v>
      </c>
      <c r="E104" s="80"/>
      <c r="F104" s="89"/>
      <c r="G104" s="106"/>
      <c r="H104" s="95"/>
      <c r="I104" s="268"/>
      <c r="J104" s="33"/>
    </row>
    <row r="105" spans="1:11" s="11" customFormat="1" ht="25.5" x14ac:dyDescent="0.2">
      <c r="A105" s="22"/>
      <c r="B105" s="22"/>
      <c r="C105" s="62" t="s">
        <v>18</v>
      </c>
      <c r="D105" s="65">
        <f t="shared" ref="D105:I105" si="4">SUM(D68:D104)</f>
        <v>233578.09</v>
      </c>
      <c r="E105" s="65">
        <f t="shared" si="4"/>
        <v>10000</v>
      </c>
      <c r="F105" s="65">
        <f t="shared" si="4"/>
        <v>140000</v>
      </c>
      <c r="G105" s="65">
        <f t="shared" si="4"/>
        <v>17000</v>
      </c>
      <c r="H105" s="65">
        <f t="shared" si="4"/>
        <v>2000</v>
      </c>
      <c r="I105" s="65">
        <f t="shared" si="4"/>
        <v>64578.09</v>
      </c>
      <c r="J105" s="30"/>
      <c r="K105" s="26"/>
    </row>
    <row r="106" spans="1:11" x14ac:dyDescent="0.2">
      <c r="A106" s="35"/>
      <c r="B106" s="35"/>
      <c r="C106" s="60"/>
      <c r="D106" s="61">
        <f t="shared" si="3"/>
        <v>0</v>
      </c>
      <c r="E106" s="81"/>
      <c r="F106" s="90"/>
      <c r="G106" s="101"/>
      <c r="H106" s="96"/>
      <c r="I106" s="269"/>
      <c r="J106" s="38"/>
    </row>
    <row r="107" spans="1:11" s="11" customFormat="1" ht="24.75" customHeight="1" x14ac:dyDescent="0.2">
      <c r="A107" s="473" t="s">
        <v>117</v>
      </c>
      <c r="B107" s="474"/>
      <c r="C107" s="475"/>
      <c r="D107" s="23">
        <f t="shared" ref="D107:H107" si="5">SUM(D106:D106)</f>
        <v>0</v>
      </c>
      <c r="E107" s="23">
        <f t="shared" si="5"/>
        <v>0</v>
      </c>
      <c r="F107" s="23">
        <f t="shared" si="5"/>
        <v>0</v>
      </c>
      <c r="G107" s="23">
        <f t="shared" si="5"/>
        <v>0</v>
      </c>
      <c r="H107" s="23">
        <f t="shared" si="5"/>
        <v>0</v>
      </c>
      <c r="I107" s="23"/>
      <c r="J107" s="25"/>
    </row>
    <row r="108" spans="1:11" s="73" customFormat="1" ht="25.5" x14ac:dyDescent="0.2">
      <c r="A108" s="35">
        <v>5151</v>
      </c>
      <c r="B108" s="35"/>
      <c r="C108" s="40" t="s">
        <v>144</v>
      </c>
      <c r="D108" s="61">
        <f t="shared" si="3"/>
        <v>0</v>
      </c>
      <c r="E108" s="81"/>
      <c r="F108" s="90"/>
      <c r="G108" s="101"/>
      <c r="H108" s="129"/>
      <c r="I108" s="270"/>
      <c r="J108" s="72"/>
    </row>
    <row r="109" spans="1:11" s="73" customFormat="1" x14ac:dyDescent="0.2">
      <c r="A109" s="35">
        <v>5611</v>
      </c>
      <c r="B109" s="35"/>
      <c r="C109" s="60" t="s">
        <v>146</v>
      </c>
      <c r="D109" s="61">
        <f t="shared" si="3"/>
        <v>0</v>
      </c>
      <c r="E109" s="81"/>
      <c r="F109" s="90"/>
      <c r="G109" s="101"/>
      <c r="H109" s="129"/>
      <c r="I109" s="270"/>
      <c r="J109" s="72"/>
    </row>
    <row r="110" spans="1:11" s="73" customFormat="1" x14ac:dyDescent="0.2">
      <c r="A110" s="35">
        <v>5621</v>
      </c>
      <c r="B110" s="35"/>
      <c r="C110" s="60" t="s">
        <v>149</v>
      </c>
      <c r="D110" s="61">
        <f t="shared" si="3"/>
        <v>200000</v>
      </c>
      <c r="E110" s="81"/>
      <c r="F110" s="90"/>
      <c r="G110" s="101"/>
      <c r="H110" s="129">
        <v>200000</v>
      </c>
      <c r="I110" s="270"/>
      <c r="J110" s="72"/>
    </row>
    <row r="111" spans="1:11" s="73" customFormat="1" x14ac:dyDescent="0.2">
      <c r="A111" s="35">
        <v>5911</v>
      </c>
      <c r="B111" s="35"/>
      <c r="C111" s="60" t="s">
        <v>145</v>
      </c>
      <c r="D111" s="61">
        <f t="shared" si="3"/>
        <v>0</v>
      </c>
      <c r="E111" s="81"/>
      <c r="F111" s="90"/>
      <c r="G111" s="101"/>
      <c r="H111" s="129"/>
      <c r="I111" s="270"/>
      <c r="J111" s="72"/>
    </row>
    <row r="112" spans="1:11" s="11" customFormat="1" ht="25.5" x14ac:dyDescent="0.2">
      <c r="A112" s="22"/>
      <c r="B112" s="22"/>
      <c r="C112" s="62" t="s">
        <v>118</v>
      </c>
      <c r="D112" s="23">
        <f>SUM(D108:D111)</f>
        <v>200000</v>
      </c>
      <c r="E112" s="23">
        <f t="shared" ref="E112:G112" si="6">SUM(E108:E108)</f>
        <v>0</v>
      </c>
      <c r="F112" s="23">
        <f t="shared" si="6"/>
        <v>0</v>
      </c>
      <c r="G112" s="23">
        <f t="shared" si="6"/>
        <v>0</v>
      </c>
      <c r="H112" s="23">
        <f>SUM(H108:H111)</f>
        <v>200000</v>
      </c>
      <c r="I112" s="23">
        <f>SUM(I108:I111)</f>
        <v>0</v>
      </c>
      <c r="J112" s="25"/>
    </row>
    <row r="113" spans="1:11" x14ac:dyDescent="0.2">
      <c r="A113" s="35"/>
      <c r="B113" s="35"/>
      <c r="C113" s="40"/>
      <c r="D113" s="61">
        <f t="shared" si="3"/>
        <v>0</v>
      </c>
      <c r="E113" s="81"/>
      <c r="F113" s="90"/>
      <c r="G113" s="101"/>
      <c r="H113" s="129"/>
      <c r="I113" s="270"/>
      <c r="J113" s="38"/>
    </row>
    <row r="114" spans="1:11" x14ac:dyDescent="0.2">
      <c r="A114" s="35"/>
      <c r="B114" s="35"/>
      <c r="C114" s="60"/>
      <c r="D114" s="61">
        <f t="shared" si="3"/>
        <v>0</v>
      </c>
      <c r="E114" s="81"/>
      <c r="F114" s="90"/>
      <c r="G114" s="101"/>
      <c r="H114" s="96"/>
      <c r="I114" s="269"/>
      <c r="J114" s="38"/>
    </row>
    <row r="115" spans="1:11" x14ac:dyDescent="0.2">
      <c r="A115" s="35"/>
      <c r="B115" s="35"/>
      <c r="C115" s="60"/>
      <c r="D115" s="61">
        <f t="shared" si="3"/>
        <v>0</v>
      </c>
      <c r="E115" s="81"/>
      <c r="F115" s="90"/>
      <c r="G115" s="101"/>
      <c r="H115" s="96"/>
      <c r="I115" s="269"/>
      <c r="J115" s="38"/>
    </row>
    <row r="116" spans="1:11" x14ac:dyDescent="0.2">
      <c r="A116" s="35"/>
      <c r="B116" s="35"/>
      <c r="C116" s="60"/>
      <c r="D116" s="61">
        <f t="shared" si="3"/>
        <v>0</v>
      </c>
      <c r="E116" s="81"/>
      <c r="F116" s="90"/>
      <c r="G116" s="101"/>
      <c r="H116" s="96"/>
      <c r="I116" s="269"/>
      <c r="J116" s="38"/>
    </row>
    <row r="117" spans="1:11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I117" si="7">SUM(E115:E116)</f>
        <v>0</v>
      </c>
      <c r="F117" s="23">
        <f t="shared" si="7"/>
        <v>0</v>
      </c>
      <c r="G117" s="23">
        <f t="shared" si="7"/>
        <v>0</v>
      </c>
      <c r="H117" s="23">
        <f t="shared" si="7"/>
        <v>0</v>
      </c>
      <c r="I117" s="23">
        <f t="shared" si="7"/>
        <v>0</v>
      </c>
      <c r="J117" s="25"/>
      <c r="K117" s="26"/>
    </row>
    <row r="118" spans="1:11" x14ac:dyDescent="0.2">
      <c r="A118" s="35"/>
      <c r="B118" s="35"/>
      <c r="C118" s="60"/>
      <c r="D118" s="61">
        <f t="shared" si="3"/>
        <v>0</v>
      </c>
      <c r="E118" s="81"/>
      <c r="F118" s="90"/>
      <c r="G118" s="101"/>
      <c r="H118" s="96"/>
      <c r="I118" s="269"/>
      <c r="J118" s="38"/>
    </row>
    <row r="119" spans="1:11" x14ac:dyDescent="0.2">
      <c r="A119" s="35"/>
      <c r="B119" s="35"/>
      <c r="C119" s="60"/>
      <c r="D119" s="61">
        <f t="shared" si="3"/>
        <v>0</v>
      </c>
      <c r="E119" s="81"/>
      <c r="F119" s="90"/>
      <c r="G119" s="101"/>
      <c r="H119" s="96"/>
      <c r="I119" s="269"/>
      <c r="J119" s="38"/>
    </row>
    <row r="120" spans="1:11" s="11" customFormat="1" x14ac:dyDescent="0.2">
      <c r="A120" s="22"/>
      <c r="B120" s="22"/>
      <c r="C120" s="62" t="s">
        <v>120</v>
      </c>
      <c r="D120" s="23">
        <f t="shared" ref="D120:H120" si="8">SUM(D118:D119)</f>
        <v>0</v>
      </c>
      <c r="E120" s="23">
        <f t="shared" si="8"/>
        <v>0</v>
      </c>
      <c r="F120" s="23">
        <f t="shared" si="8"/>
        <v>0</v>
      </c>
      <c r="G120" s="23">
        <f t="shared" si="8"/>
        <v>0</v>
      </c>
      <c r="H120" s="23">
        <f t="shared" si="8"/>
        <v>0</v>
      </c>
      <c r="I120" s="23"/>
      <c r="J120" s="25"/>
    </row>
    <row r="121" spans="1:11" s="11" customFormat="1" ht="17.25" customHeight="1" x14ac:dyDescent="0.2">
      <c r="A121" s="188"/>
      <c r="B121" s="188"/>
      <c r="C121" s="189" t="s">
        <v>19</v>
      </c>
      <c r="D121" s="190">
        <f t="shared" ref="D121:I121" si="9">SUM(D120,D117,D112,D107,D105,D67,D28)</f>
        <v>1307374.9000000001</v>
      </c>
      <c r="E121" s="190">
        <f t="shared" si="9"/>
        <v>458988.23000000004</v>
      </c>
      <c r="F121" s="190">
        <f t="shared" si="9"/>
        <v>535613.54</v>
      </c>
      <c r="G121" s="190">
        <f t="shared" si="9"/>
        <v>17000</v>
      </c>
      <c r="H121" s="190">
        <f t="shared" si="9"/>
        <v>217000</v>
      </c>
      <c r="I121" s="190">
        <f t="shared" si="9"/>
        <v>78773.12999999999</v>
      </c>
      <c r="J121" s="192"/>
      <c r="K121" s="26"/>
    </row>
    <row r="122" spans="1:11" x14ac:dyDescent="0.2">
      <c r="D122" s="108"/>
      <c r="E122" s="73"/>
      <c r="F122" s="73"/>
      <c r="G122" s="73"/>
      <c r="H122" s="73"/>
      <c r="I122" s="73"/>
    </row>
    <row r="123" spans="1:11" x14ac:dyDescent="0.2">
      <c r="D123" s="108"/>
      <c r="E123" s="73"/>
      <c r="F123" s="73"/>
      <c r="G123" s="73"/>
      <c r="H123" s="73"/>
      <c r="I123" s="73"/>
    </row>
    <row r="124" spans="1:11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1" x14ac:dyDescent="0.2">
      <c r="B125" s="43"/>
      <c r="C125" s="122"/>
      <c r="D125" s="123"/>
      <c r="E125" s="124"/>
      <c r="F125" s="124"/>
      <c r="G125" s="124"/>
      <c r="H125" s="124"/>
      <c r="I125" s="43"/>
    </row>
    <row r="126" spans="1:11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1" x14ac:dyDescent="0.2">
      <c r="D127" s="108"/>
      <c r="E127" s="73"/>
      <c r="F127" s="73"/>
      <c r="G127" s="73"/>
      <c r="H127" s="73"/>
      <c r="I127" s="73"/>
    </row>
    <row r="128" spans="1:11" x14ac:dyDescent="0.2">
      <c r="D128" s="108"/>
      <c r="E128" s="73"/>
      <c r="F128" s="73"/>
      <c r="G128" s="73"/>
      <c r="H128" s="73"/>
      <c r="I128" s="73"/>
    </row>
    <row r="129" spans="4:9" x14ac:dyDescent="0.2">
      <c r="D129" s="108"/>
      <c r="E129" s="73"/>
      <c r="F129" s="73"/>
      <c r="G129" s="73"/>
      <c r="H129" s="73"/>
      <c r="I129" s="73"/>
    </row>
    <row r="130" spans="4:9" x14ac:dyDescent="0.2">
      <c r="D130" s="108"/>
      <c r="E130" s="73"/>
      <c r="F130" s="73"/>
      <c r="G130" s="73"/>
      <c r="H130" s="73"/>
      <c r="I130" s="73"/>
    </row>
    <row r="131" spans="4:9" x14ac:dyDescent="0.2">
      <c r="D131" s="108"/>
      <c r="E131" s="73"/>
      <c r="F131" s="73"/>
      <c r="G131" s="115"/>
      <c r="H131" s="73"/>
      <c r="I131" s="73"/>
    </row>
    <row r="132" spans="4:9" x14ac:dyDescent="0.2">
      <c r="D132" s="108"/>
      <c r="E132" s="73"/>
      <c r="F132" s="73"/>
      <c r="G132" s="115"/>
      <c r="H132" s="73"/>
      <c r="I132" s="73"/>
    </row>
    <row r="133" spans="4:9" x14ac:dyDescent="0.2">
      <c r="D133" s="108"/>
      <c r="E133" s="73"/>
      <c r="F133" s="73"/>
      <c r="G133" s="73"/>
      <c r="H133" s="73"/>
      <c r="I133" s="73"/>
    </row>
    <row r="134" spans="4:9" x14ac:dyDescent="0.2">
      <c r="D134" s="108"/>
      <c r="E134" s="73"/>
      <c r="F134" s="73"/>
      <c r="G134" s="116"/>
      <c r="H134" s="73"/>
      <c r="I134" s="73"/>
    </row>
    <row r="135" spans="4:9" x14ac:dyDescent="0.2">
      <c r="D135" s="108"/>
      <c r="E135" s="73"/>
      <c r="F135" s="73"/>
      <c r="G135" s="116"/>
      <c r="H135" s="116"/>
      <c r="I135" s="116"/>
    </row>
    <row r="136" spans="4:9" x14ac:dyDescent="0.2">
      <c r="D136" s="108"/>
      <c r="E136" s="73"/>
      <c r="F136" s="73"/>
      <c r="G136" s="73"/>
      <c r="H136" s="73"/>
      <c r="I136" s="73"/>
    </row>
    <row r="137" spans="4:9" x14ac:dyDescent="0.2">
      <c r="D137" s="108"/>
      <c r="E137" s="73"/>
      <c r="F137" s="73"/>
      <c r="G137" s="73"/>
      <c r="H137" s="73"/>
      <c r="I137" s="73"/>
    </row>
    <row r="138" spans="4:9" x14ac:dyDescent="0.2">
      <c r="D138" s="108"/>
      <c r="E138" s="73"/>
      <c r="F138" s="73"/>
      <c r="G138" s="73"/>
      <c r="H138" s="73"/>
      <c r="I138" s="73"/>
    </row>
    <row r="139" spans="4:9" x14ac:dyDescent="0.2">
      <c r="D139" s="108"/>
      <c r="E139" s="73"/>
      <c r="F139" s="116"/>
      <c r="G139" s="73"/>
      <c r="H139" s="73"/>
      <c r="I139" s="73"/>
    </row>
    <row r="140" spans="4:9" x14ac:dyDescent="0.2">
      <c r="D140" s="108"/>
      <c r="E140" s="73"/>
      <c r="F140" s="73"/>
      <c r="G140" s="73"/>
      <c r="H140" s="73"/>
      <c r="I140" s="73"/>
    </row>
    <row r="141" spans="4:9" x14ac:dyDescent="0.2">
      <c r="D141" s="108"/>
      <c r="E141" s="73"/>
      <c r="F141" s="73"/>
      <c r="G141" s="73"/>
      <c r="H141" s="73"/>
      <c r="I141" s="73"/>
    </row>
    <row r="142" spans="4:9" x14ac:dyDescent="0.2">
      <c r="D142" s="108"/>
      <c r="E142" s="73"/>
      <c r="F142" s="73"/>
      <c r="G142" s="73"/>
      <c r="H142" s="73"/>
      <c r="I142" s="73"/>
    </row>
    <row r="143" spans="4:9" x14ac:dyDescent="0.2">
      <c r="D143" s="108"/>
      <c r="E143" s="73"/>
      <c r="F143" s="73"/>
      <c r="G143" s="73"/>
      <c r="H143" s="73"/>
      <c r="I143" s="73"/>
    </row>
    <row r="144" spans="4:9" x14ac:dyDescent="0.2">
      <c r="D144" s="108"/>
      <c r="E144" s="73"/>
      <c r="F144" s="73"/>
      <c r="G144" s="73"/>
      <c r="H144" s="73"/>
      <c r="I144" s="73"/>
    </row>
    <row r="145" spans="4:9" x14ac:dyDescent="0.2">
      <c r="D145" s="108"/>
      <c r="E145" s="73"/>
      <c r="F145" s="73"/>
      <c r="G145" s="73"/>
      <c r="H145" s="73"/>
      <c r="I145" s="73"/>
    </row>
    <row r="146" spans="4:9" x14ac:dyDescent="0.2">
      <c r="D146" s="108"/>
      <c r="E146" s="73"/>
      <c r="F146" s="73"/>
      <c r="G146" s="73"/>
      <c r="H146" s="73"/>
      <c r="I146" s="73"/>
    </row>
    <row r="147" spans="4:9" x14ac:dyDescent="0.2">
      <c r="D147" s="108"/>
      <c r="E147" s="73"/>
      <c r="F147" s="73"/>
      <c r="G147" s="73"/>
      <c r="H147" s="73"/>
      <c r="I147" s="73"/>
    </row>
    <row r="148" spans="4:9" x14ac:dyDescent="0.2">
      <c r="D148" s="108"/>
      <c r="E148" s="73"/>
      <c r="F148" s="73"/>
      <c r="G148" s="73"/>
      <c r="H148" s="73"/>
      <c r="I148" s="73"/>
    </row>
    <row r="149" spans="4:9" x14ac:dyDescent="0.2">
      <c r="D149" s="108"/>
      <c r="E149" s="73"/>
      <c r="F149" s="73"/>
      <c r="G149" s="73"/>
      <c r="H149" s="73"/>
      <c r="I149" s="73"/>
    </row>
    <row r="150" spans="4:9" x14ac:dyDescent="0.2">
      <c r="D150" s="108"/>
      <c r="E150" s="73"/>
      <c r="F150" s="73"/>
      <c r="G150" s="73"/>
      <c r="H150" s="73"/>
      <c r="I150" s="73"/>
    </row>
    <row r="151" spans="4:9" x14ac:dyDescent="0.2">
      <c r="D151" s="108"/>
      <c r="E151" s="73"/>
      <c r="F151" s="73"/>
      <c r="G151" s="73"/>
      <c r="H151" s="73"/>
      <c r="I151" s="73"/>
    </row>
    <row r="152" spans="4:9" x14ac:dyDescent="0.2">
      <c r="D152" s="108"/>
      <c r="E152" s="73"/>
      <c r="F152" s="73"/>
      <c r="G152" s="73"/>
      <c r="H152" s="73"/>
      <c r="I152" s="73"/>
    </row>
    <row r="153" spans="4:9" x14ac:dyDescent="0.2">
      <c r="D153" s="108"/>
      <c r="E153" s="73"/>
      <c r="F153" s="73"/>
      <c r="G153" s="73"/>
      <c r="H153" s="73"/>
      <c r="I153" s="73"/>
    </row>
    <row r="154" spans="4:9" x14ac:dyDescent="0.2">
      <c r="D154" s="108"/>
      <c r="E154" s="73"/>
      <c r="F154" s="73"/>
      <c r="G154" s="73"/>
      <c r="H154" s="73"/>
      <c r="I154" s="73"/>
    </row>
    <row r="155" spans="4:9" x14ac:dyDescent="0.2">
      <c r="D155" s="108"/>
      <c r="E155" s="73"/>
      <c r="F155" s="73"/>
      <c r="G155" s="73"/>
      <c r="H155" s="73"/>
      <c r="I155" s="73"/>
    </row>
    <row r="156" spans="4:9" x14ac:dyDescent="0.2">
      <c r="D156" s="108"/>
      <c r="E156" s="73"/>
      <c r="F156" s="73"/>
      <c r="G156" s="73"/>
      <c r="H156" s="73"/>
      <c r="I156" s="73"/>
    </row>
    <row r="157" spans="4:9" x14ac:dyDescent="0.2">
      <c r="D157" s="108"/>
      <c r="E157" s="73"/>
      <c r="F157" s="73"/>
      <c r="G157" s="73"/>
      <c r="H157" s="73"/>
      <c r="I157" s="73"/>
    </row>
    <row r="158" spans="4:9" x14ac:dyDescent="0.2">
      <c r="D158" s="108"/>
      <c r="E158" s="73"/>
      <c r="F158" s="73"/>
      <c r="G158" s="73"/>
      <c r="H158" s="73"/>
      <c r="I158" s="73"/>
    </row>
    <row r="159" spans="4:9" x14ac:dyDescent="0.2">
      <c r="D159" s="108"/>
      <c r="E159" s="73"/>
      <c r="F159" s="73"/>
      <c r="G159" s="73"/>
      <c r="H159" s="73"/>
      <c r="I159" s="73"/>
    </row>
    <row r="160" spans="4:9" x14ac:dyDescent="0.2">
      <c r="D160" s="108"/>
      <c r="E160" s="73"/>
      <c r="F160" s="73"/>
      <c r="G160" s="73"/>
      <c r="H160" s="73"/>
      <c r="I160" s="73"/>
    </row>
    <row r="161" spans="4:9" x14ac:dyDescent="0.2">
      <c r="D161" s="108"/>
      <c r="E161" s="73"/>
      <c r="F161" s="73"/>
      <c r="G161" s="73"/>
      <c r="H161" s="73"/>
      <c r="I161" s="73"/>
    </row>
    <row r="162" spans="4:9" x14ac:dyDescent="0.2">
      <c r="D162" s="108"/>
      <c r="E162" s="73"/>
      <c r="F162" s="73"/>
      <c r="G162" s="73"/>
      <c r="H162" s="73"/>
      <c r="I162" s="73"/>
    </row>
    <row r="163" spans="4:9" x14ac:dyDescent="0.2">
      <c r="D163" s="108"/>
      <c r="E163" s="73"/>
      <c r="F163" s="73"/>
      <c r="G163" s="73"/>
      <c r="H163" s="73"/>
      <c r="I163" s="73"/>
    </row>
    <row r="164" spans="4:9" x14ac:dyDescent="0.2">
      <c r="D164" s="108"/>
      <c r="E164" s="73"/>
      <c r="F164" s="73"/>
      <c r="G164" s="73"/>
      <c r="H164" s="73"/>
      <c r="I164" s="73"/>
    </row>
    <row r="165" spans="4:9" x14ac:dyDescent="0.2">
      <c r="D165" s="108"/>
      <c r="E165" s="73"/>
      <c r="F165" s="73"/>
      <c r="G165" s="73"/>
      <c r="H165" s="73"/>
      <c r="I165" s="73"/>
    </row>
    <row r="166" spans="4:9" x14ac:dyDescent="0.2">
      <c r="D166" s="108"/>
      <c r="E166" s="73"/>
      <c r="F166" s="73"/>
      <c r="G166" s="73"/>
      <c r="H166" s="73"/>
      <c r="I166" s="73"/>
    </row>
    <row r="167" spans="4:9" x14ac:dyDescent="0.2">
      <c r="D167" s="108"/>
      <c r="E167" s="73"/>
      <c r="F167" s="73"/>
      <c r="G167" s="73"/>
      <c r="H167" s="73"/>
      <c r="I167" s="73"/>
    </row>
    <row r="168" spans="4:9" x14ac:dyDescent="0.2">
      <c r="D168" s="108"/>
      <c r="E168" s="73"/>
      <c r="F168" s="73"/>
      <c r="G168" s="73"/>
      <c r="H168" s="73"/>
      <c r="I168" s="73"/>
    </row>
    <row r="169" spans="4:9" x14ac:dyDescent="0.2">
      <c r="D169" s="108"/>
      <c r="E169" s="73"/>
      <c r="F169" s="73"/>
      <c r="G169" s="73"/>
      <c r="H169" s="73"/>
      <c r="I169" s="73"/>
    </row>
    <row r="170" spans="4:9" x14ac:dyDescent="0.2">
      <c r="D170" s="108"/>
      <c r="E170" s="73"/>
      <c r="F170" s="73"/>
      <c r="G170" s="73"/>
      <c r="H170" s="73"/>
      <c r="I170" s="73"/>
    </row>
    <row r="171" spans="4:9" x14ac:dyDescent="0.2">
      <c r="D171" s="108"/>
      <c r="E171" s="73"/>
      <c r="F171" s="73"/>
      <c r="G171" s="73"/>
      <c r="H171" s="73"/>
      <c r="I171" s="73"/>
    </row>
    <row r="172" spans="4:9" x14ac:dyDescent="0.2">
      <c r="D172" s="108"/>
      <c r="E172" s="73"/>
      <c r="F172" s="73"/>
      <c r="G172" s="73"/>
      <c r="H172" s="73"/>
      <c r="I172" s="73"/>
    </row>
    <row r="173" spans="4:9" x14ac:dyDescent="0.2">
      <c r="D173" s="108"/>
      <c r="E173" s="73"/>
      <c r="F173" s="73"/>
      <c r="G173" s="73"/>
      <c r="H173" s="73"/>
      <c r="I173" s="73"/>
    </row>
    <row r="174" spans="4:9" x14ac:dyDescent="0.2">
      <c r="D174" s="108"/>
      <c r="E174" s="73"/>
      <c r="F174" s="73"/>
      <c r="G174" s="73"/>
      <c r="H174" s="73"/>
      <c r="I174" s="73"/>
    </row>
    <row r="175" spans="4:9" x14ac:dyDescent="0.2">
      <c r="D175" s="108"/>
      <c r="E175" s="73"/>
      <c r="F175" s="73"/>
      <c r="G175" s="73"/>
      <c r="H175" s="73"/>
      <c r="I175" s="73"/>
    </row>
    <row r="176" spans="4:9" x14ac:dyDescent="0.2">
      <c r="D176" s="108"/>
      <c r="E176" s="73"/>
      <c r="F176" s="73"/>
      <c r="G176" s="73"/>
      <c r="H176" s="73"/>
      <c r="I176" s="73"/>
    </row>
    <row r="177" spans="4:9" x14ac:dyDescent="0.2">
      <c r="D177" s="108"/>
      <c r="E177" s="73"/>
      <c r="F177" s="73"/>
      <c r="G177" s="73"/>
      <c r="H177" s="73"/>
      <c r="I177" s="73"/>
    </row>
    <row r="178" spans="4:9" x14ac:dyDescent="0.2">
      <c r="D178" s="108"/>
      <c r="E178" s="73"/>
      <c r="F178" s="73"/>
      <c r="G178" s="73"/>
      <c r="H178" s="73"/>
      <c r="I178" s="73"/>
    </row>
    <row r="179" spans="4:9" x14ac:dyDescent="0.2">
      <c r="D179" s="108"/>
      <c r="E179" s="73"/>
      <c r="F179" s="73"/>
      <c r="G179" s="73"/>
      <c r="H179" s="73"/>
      <c r="I179" s="73"/>
    </row>
    <row r="180" spans="4:9" x14ac:dyDescent="0.2">
      <c r="D180" s="108"/>
      <c r="E180" s="73"/>
      <c r="F180" s="73"/>
      <c r="G180" s="73"/>
      <c r="H180" s="73"/>
      <c r="I180" s="73"/>
    </row>
    <row r="181" spans="4:9" x14ac:dyDescent="0.2">
      <c r="D181" s="108"/>
      <c r="E181" s="73"/>
      <c r="F181" s="73"/>
      <c r="G181" s="73"/>
      <c r="H181" s="73"/>
      <c r="I181" s="73"/>
    </row>
    <row r="182" spans="4:9" x14ac:dyDescent="0.2">
      <c r="D182" s="108"/>
      <c r="E182" s="73"/>
      <c r="F182" s="73"/>
      <c r="G182" s="73"/>
      <c r="H182" s="73"/>
      <c r="I182" s="73"/>
    </row>
    <row r="183" spans="4:9" x14ac:dyDescent="0.2">
      <c r="D183" s="108"/>
      <c r="E183" s="73"/>
      <c r="F183" s="73"/>
      <c r="G183" s="73"/>
      <c r="H183" s="73"/>
      <c r="I183" s="73"/>
    </row>
    <row r="184" spans="4:9" x14ac:dyDescent="0.2">
      <c r="D184" s="108"/>
      <c r="E184" s="73"/>
      <c r="F184" s="73"/>
      <c r="G184" s="73"/>
      <c r="H184" s="73"/>
      <c r="I184" s="73"/>
    </row>
    <row r="185" spans="4:9" x14ac:dyDescent="0.2">
      <c r="D185" s="108"/>
      <c r="E185" s="73"/>
      <c r="F185" s="73"/>
      <c r="G185" s="73"/>
      <c r="H185" s="73"/>
      <c r="I185" s="73"/>
    </row>
    <row r="186" spans="4:9" x14ac:dyDescent="0.2">
      <c r="D186" s="108"/>
      <c r="E186" s="73"/>
      <c r="F186" s="73"/>
      <c r="G186" s="73"/>
      <c r="H186" s="73"/>
      <c r="I186" s="73"/>
    </row>
    <row r="187" spans="4:9" x14ac:dyDescent="0.2">
      <c r="D187" s="108"/>
      <c r="E187" s="73"/>
      <c r="F187" s="73"/>
      <c r="G187" s="73"/>
      <c r="H187" s="73"/>
      <c r="I187" s="73"/>
    </row>
    <row r="188" spans="4:9" x14ac:dyDescent="0.2">
      <c r="D188" s="108"/>
      <c r="E188" s="73"/>
      <c r="F188" s="73"/>
      <c r="G188" s="73"/>
      <c r="H188" s="73"/>
      <c r="I188" s="73"/>
    </row>
    <row r="189" spans="4:9" x14ac:dyDescent="0.2">
      <c r="D189" s="108"/>
      <c r="E189" s="73"/>
      <c r="F189" s="73"/>
      <c r="G189" s="73"/>
      <c r="H189" s="73"/>
      <c r="I189" s="73"/>
    </row>
    <row r="190" spans="4:9" x14ac:dyDescent="0.2">
      <c r="D190" s="108"/>
      <c r="E190" s="73"/>
      <c r="F190" s="73"/>
      <c r="G190" s="73"/>
      <c r="H190" s="73"/>
      <c r="I190" s="73"/>
    </row>
    <row r="191" spans="4:9" x14ac:dyDescent="0.2">
      <c r="D191" s="108"/>
      <c r="E191" s="73"/>
      <c r="F191" s="73"/>
      <c r="G191" s="73"/>
      <c r="H191" s="73"/>
      <c r="I191" s="73"/>
    </row>
    <row r="192" spans="4:9" x14ac:dyDescent="0.2">
      <c r="D192" s="108"/>
      <c r="E192" s="73"/>
      <c r="F192" s="73"/>
      <c r="G192" s="73"/>
      <c r="H192" s="73"/>
      <c r="I192" s="73"/>
    </row>
    <row r="193" spans="4:9" x14ac:dyDescent="0.2">
      <c r="D193" s="108"/>
      <c r="E193" s="73"/>
      <c r="F193" s="73"/>
      <c r="G193" s="73"/>
      <c r="H193" s="73"/>
      <c r="I193" s="73"/>
    </row>
    <row r="194" spans="4:9" x14ac:dyDescent="0.2">
      <c r="D194" s="108"/>
      <c r="E194" s="73"/>
      <c r="F194" s="73"/>
      <c r="G194" s="73"/>
      <c r="H194" s="73"/>
      <c r="I194" s="73"/>
    </row>
    <row r="195" spans="4:9" x14ac:dyDescent="0.2">
      <c r="D195" s="108"/>
      <c r="E195" s="73"/>
      <c r="F195" s="73"/>
      <c r="G195" s="73"/>
      <c r="H195" s="73"/>
      <c r="I195" s="73"/>
    </row>
    <row r="196" spans="4:9" x14ac:dyDescent="0.2">
      <c r="D196" s="108"/>
      <c r="E196" s="73"/>
      <c r="F196" s="73"/>
      <c r="G196" s="73"/>
      <c r="H196" s="73"/>
      <c r="I196" s="73"/>
    </row>
    <row r="197" spans="4:9" x14ac:dyDescent="0.2">
      <c r="D197" s="108"/>
      <c r="E197" s="73"/>
      <c r="F197" s="73"/>
      <c r="G197" s="73"/>
      <c r="H197" s="73"/>
      <c r="I197" s="73"/>
    </row>
    <row r="198" spans="4:9" x14ac:dyDescent="0.2">
      <c r="D198" s="108"/>
      <c r="E198" s="73"/>
      <c r="F198" s="73"/>
      <c r="G198" s="73"/>
      <c r="H198" s="73"/>
      <c r="I198" s="73"/>
    </row>
    <row r="199" spans="4:9" x14ac:dyDescent="0.2">
      <c r="D199" s="108"/>
      <c r="E199" s="73"/>
      <c r="F199" s="73"/>
      <c r="G199" s="73"/>
      <c r="H199" s="73"/>
      <c r="I199" s="73"/>
    </row>
    <row r="200" spans="4:9" x14ac:dyDescent="0.2">
      <c r="D200" s="108"/>
      <c r="E200" s="73"/>
      <c r="F200" s="73"/>
      <c r="G200" s="73"/>
      <c r="H200" s="73"/>
      <c r="I200" s="73"/>
    </row>
    <row r="201" spans="4:9" x14ac:dyDescent="0.2">
      <c r="D201" s="108"/>
      <c r="E201" s="73"/>
      <c r="F201" s="73"/>
      <c r="G201" s="73"/>
      <c r="H201" s="73"/>
      <c r="I201" s="73"/>
    </row>
    <row r="202" spans="4:9" x14ac:dyDescent="0.2">
      <c r="D202" s="108"/>
      <c r="E202" s="73"/>
      <c r="F202" s="73"/>
      <c r="G202" s="73"/>
      <c r="H202" s="73"/>
      <c r="I202" s="73"/>
    </row>
    <row r="203" spans="4:9" x14ac:dyDescent="0.2">
      <c r="D203" s="108"/>
      <c r="E203" s="73"/>
      <c r="F203" s="73"/>
      <c r="G203" s="73"/>
      <c r="H203" s="73"/>
      <c r="I203" s="73"/>
    </row>
    <row r="204" spans="4:9" x14ac:dyDescent="0.2">
      <c r="D204" s="108"/>
      <c r="E204" s="73"/>
      <c r="F204" s="73"/>
      <c r="G204" s="73"/>
      <c r="H204" s="73"/>
      <c r="I204" s="73"/>
    </row>
    <row r="205" spans="4:9" x14ac:dyDescent="0.2">
      <c r="D205" s="108"/>
      <c r="E205" s="73"/>
      <c r="F205" s="73"/>
      <c r="G205" s="73"/>
      <c r="H205" s="73"/>
      <c r="I205" s="73"/>
    </row>
    <row r="206" spans="4:9" x14ac:dyDescent="0.2">
      <c r="D206" s="108"/>
      <c r="E206" s="73"/>
      <c r="F206" s="73"/>
      <c r="G206" s="73"/>
      <c r="H206" s="73"/>
      <c r="I206" s="73"/>
    </row>
    <row r="207" spans="4:9" x14ac:dyDescent="0.2">
      <c r="D207" s="108"/>
      <c r="E207" s="73"/>
      <c r="F207" s="73"/>
      <c r="G207" s="73"/>
      <c r="H207" s="73"/>
      <c r="I207" s="73"/>
    </row>
    <row r="208" spans="4:9" x14ac:dyDescent="0.2">
      <c r="D208" s="108"/>
      <c r="E208" s="73"/>
      <c r="F208" s="73"/>
      <c r="G208" s="73"/>
      <c r="H208" s="73"/>
      <c r="I208" s="73"/>
    </row>
    <row r="209" spans="4:9" x14ac:dyDescent="0.2">
      <c r="D209" s="108"/>
      <c r="E209" s="73"/>
      <c r="F209" s="73"/>
      <c r="G209" s="73"/>
      <c r="H209" s="73"/>
      <c r="I209" s="73"/>
    </row>
    <row r="210" spans="4:9" x14ac:dyDescent="0.2">
      <c r="D210" s="108"/>
      <c r="E210" s="73"/>
      <c r="F210" s="73"/>
      <c r="G210" s="73"/>
      <c r="H210" s="73"/>
      <c r="I210" s="73"/>
    </row>
    <row r="211" spans="4:9" x14ac:dyDescent="0.2">
      <c r="D211" s="108"/>
      <c r="E211" s="73"/>
      <c r="F211" s="73"/>
      <c r="G211" s="73"/>
      <c r="H211" s="73"/>
      <c r="I211" s="73"/>
    </row>
    <row r="212" spans="4:9" x14ac:dyDescent="0.2">
      <c r="D212" s="108"/>
      <c r="E212" s="73"/>
      <c r="F212" s="73"/>
      <c r="G212" s="73"/>
      <c r="H212" s="73"/>
      <c r="I212" s="73"/>
    </row>
    <row r="213" spans="4:9" x14ac:dyDescent="0.2">
      <c r="D213" s="108"/>
      <c r="E213" s="73"/>
      <c r="F213" s="73"/>
      <c r="G213" s="73"/>
      <c r="H213" s="73"/>
      <c r="I213" s="73"/>
    </row>
    <row r="214" spans="4:9" x14ac:dyDescent="0.2">
      <c r="D214" s="108"/>
      <c r="E214" s="73"/>
      <c r="F214" s="73"/>
      <c r="G214" s="73"/>
      <c r="H214" s="73"/>
      <c r="I214" s="73"/>
    </row>
    <row r="215" spans="4:9" x14ac:dyDescent="0.2">
      <c r="D215" s="108"/>
      <c r="E215" s="73"/>
      <c r="F215" s="73"/>
      <c r="G215" s="73"/>
      <c r="H215" s="73"/>
      <c r="I215" s="73"/>
    </row>
    <row r="216" spans="4:9" x14ac:dyDescent="0.2">
      <c r="D216" s="108"/>
      <c r="E216" s="73"/>
      <c r="F216" s="73"/>
      <c r="G216" s="73"/>
      <c r="H216" s="73"/>
      <c r="I216" s="73"/>
    </row>
    <row r="217" spans="4:9" x14ac:dyDescent="0.2">
      <c r="D217" s="108"/>
      <c r="E217" s="73"/>
      <c r="F217" s="73"/>
      <c r="G217" s="73"/>
      <c r="H217" s="73"/>
      <c r="I217" s="73"/>
    </row>
    <row r="218" spans="4:9" x14ac:dyDescent="0.2">
      <c r="D218" s="108"/>
      <c r="E218" s="73"/>
      <c r="F218" s="73"/>
      <c r="G218" s="73"/>
      <c r="H218" s="73"/>
      <c r="I218" s="73"/>
    </row>
    <row r="219" spans="4:9" x14ac:dyDescent="0.2">
      <c r="D219" s="108"/>
      <c r="E219" s="73"/>
      <c r="F219" s="73"/>
      <c r="G219" s="73"/>
      <c r="H219" s="73"/>
      <c r="I219" s="73"/>
    </row>
    <row r="220" spans="4:9" x14ac:dyDescent="0.2">
      <c r="D220" s="108"/>
      <c r="E220" s="73"/>
      <c r="F220" s="73"/>
      <c r="G220" s="73"/>
      <c r="H220" s="73"/>
      <c r="I220" s="73"/>
    </row>
    <row r="221" spans="4:9" x14ac:dyDescent="0.2">
      <c r="D221" s="108"/>
      <c r="E221" s="73"/>
      <c r="F221" s="73"/>
      <c r="G221" s="73"/>
      <c r="H221" s="73"/>
      <c r="I221" s="73"/>
    </row>
    <row r="222" spans="4:9" x14ac:dyDescent="0.2">
      <c r="D222" s="108"/>
      <c r="E222" s="73"/>
      <c r="F222" s="73"/>
      <c r="G222" s="73"/>
      <c r="H222" s="73"/>
      <c r="I222" s="73"/>
    </row>
    <row r="223" spans="4:9" x14ac:dyDescent="0.2">
      <c r="D223" s="108"/>
      <c r="E223" s="73"/>
      <c r="F223" s="73"/>
      <c r="G223" s="73"/>
      <c r="H223" s="73"/>
      <c r="I223" s="73"/>
    </row>
    <row r="224" spans="4:9" x14ac:dyDescent="0.2">
      <c r="D224" s="108"/>
      <c r="E224" s="73"/>
      <c r="F224" s="73"/>
      <c r="G224" s="73"/>
      <c r="H224" s="73"/>
      <c r="I224" s="73"/>
    </row>
    <row r="225" spans="4:9" x14ac:dyDescent="0.2">
      <c r="D225" s="108"/>
      <c r="E225" s="73"/>
      <c r="F225" s="73"/>
      <c r="G225" s="73"/>
      <c r="H225" s="73"/>
      <c r="I225" s="73"/>
    </row>
    <row r="226" spans="4:9" x14ac:dyDescent="0.2">
      <c r="D226" s="108"/>
      <c r="E226" s="73"/>
      <c r="F226" s="73"/>
      <c r="G226" s="73"/>
      <c r="H226" s="73"/>
      <c r="I226" s="73"/>
    </row>
    <row r="227" spans="4:9" x14ac:dyDescent="0.2">
      <c r="D227" s="108"/>
      <c r="E227" s="73"/>
      <c r="F227" s="73"/>
      <c r="G227" s="73"/>
      <c r="H227" s="73"/>
      <c r="I227" s="73"/>
    </row>
    <row r="228" spans="4:9" x14ac:dyDescent="0.2">
      <c r="D228" s="108"/>
      <c r="E228" s="73"/>
      <c r="F228" s="73"/>
      <c r="G228" s="73"/>
      <c r="H228" s="73"/>
      <c r="I228" s="73"/>
    </row>
    <row r="229" spans="4:9" x14ac:dyDescent="0.2">
      <c r="D229" s="108"/>
      <c r="E229" s="73"/>
      <c r="F229" s="73"/>
      <c r="G229" s="73"/>
      <c r="H229" s="73"/>
      <c r="I229" s="73"/>
    </row>
    <row r="230" spans="4:9" x14ac:dyDescent="0.2">
      <c r="D230" s="108"/>
      <c r="E230" s="73"/>
      <c r="F230" s="73"/>
      <c r="G230" s="73"/>
      <c r="H230" s="73"/>
      <c r="I230" s="73"/>
    </row>
    <row r="231" spans="4:9" x14ac:dyDescent="0.2">
      <c r="D231" s="108"/>
      <c r="E231" s="73"/>
      <c r="F231" s="73"/>
      <c r="G231" s="73"/>
      <c r="H231" s="73"/>
      <c r="I231" s="73"/>
    </row>
    <row r="232" spans="4:9" x14ac:dyDescent="0.2">
      <c r="D232" s="108"/>
      <c r="E232" s="73"/>
      <c r="F232" s="73"/>
      <c r="G232" s="73"/>
      <c r="H232" s="73"/>
      <c r="I232" s="73"/>
    </row>
    <row r="233" spans="4:9" x14ac:dyDescent="0.2">
      <c r="D233" s="108"/>
      <c r="E233" s="73"/>
      <c r="F233" s="73"/>
      <c r="G233" s="73"/>
      <c r="H233" s="73"/>
      <c r="I233" s="73"/>
    </row>
    <row r="234" spans="4:9" x14ac:dyDescent="0.2">
      <c r="D234" s="108"/>
      <c r="E234" s="73"/>
      <c r="F234" s="73"/>
      <c r="G234" s="73"/>
      <c r="H234" s="73"/>
      <c r="I234" s="73"/>
    </row>
    <row r="235" spans="4:9" x14ac:dyDescent="0.2">
      <c r="D235" s="108"/>
      <c r="E235" s="73"/>
      <c r="F235" s="73"/>
      <c r="G235" s="73"/>
      <c r="H235" s="73"/>
      <c r="I235" s="73"/>
    </row>
    <row r="236" spans="4:9" x14ac:dyDescent="0.2">
      <c r="D236" s="108"/>
      <c r="E236" s="73"/>
      <c r="F236" s="73"/>
      <c r="G236" s="73"/>
      <c r="H236" s="73"/>
      <c r="I236" s="73"/>
    </row>
    <row r="237" spans="4:9" x14ac:dyDescent="0.2">
      <c r="D237" s="108"/>
      <c r="E237" s="73"/>
      <c r="F237" s="73"/>
      <c r="G237" s="73"/>
      <c r="H237" s="73"/>
      <c r="I237" s="73"/>
    </row>
    <row r="238" spans="4:9" x14ac:dyDescent="0.2">
      <c r="D238" s="108"/>
      <c r="E238" s="73"/>
      <c r="F238" s="73"/>
      <c r="G238" s="73"/>
      <c r="H238" s="73"/>
      <c r="I238" s="73"/>
    </row>
    <row r="239" spans="4:9" x14ac:dyDescent="0.2">
      <c r="D239" s="108"/>
      <c r="E239" s="73"/>
      <c r="F239" s="73"/>
      <c r="G239" s="73"/>
      <c r="H239" s="73"/>
      <c r="I239" s="73"/>
    </row>
    <row r="240" spans="4:9" x14ac:dyDescent="0.2">
      <c r="D240" s="108"/>
      <c r="E240" s="73"/>
      <c r="F240" s="73"/>
      <c r="G240" s="73"/>
      <c r="H240" s="73"/>
      <c r="I240" s="73"/>
    </row>
    <row r="241" spans="4:9" x14ac:dyDescent="0.2">
      <c r="D241" s="108"/>
      <c r="E241" s="73"/>
      <c r="F241" s="73"/>
      <c r="G241" s="73"/>
      <c r="H241" s="73"/>
      <c r="I241" s="73"/>
    </row>
    <row r="242" spans="4:9" x14ac:dyDescent="0.2">
      <c r="D242" s="108"/>
      <c r="E242" s="73"/>
      <c r="F242" s="73"/>
      <c r="G242" s="73"/>
      <c r="H242" s="73"/>
      <c r="I242" s="73"/>
    </row>
    <row r="243" spans="4:9" x14ac:dyDescent="0.2">
      <c r="D243" s="108"/>
      <c r="E243" s="73"/>
      <c r="F243" s="73"/>
      <c r="G243" s="73"/>
      <c r="H243" s="73"/>
      <c r="I243" s="73"/>
    </row>
    <row r="244" spans="4:9" x14ac:dyDescent="0.2">
      <c r="D244" s="108"/>
      <c r="E244" s="73"/>
      <c r="F244" s="73"/>
      <c r="G244" s="73"/>
      <c r="H244" s="73"/>
      <c r="I244" s="73"/>
    </row>
    <row r="245" spans="4:9" x14ac:dyDescent="0.2">
      <c r="D245" s="108"/>
      <c r="E245" s="73"/>
      <c r="F245" s="73"/>
      <c r="G245" s="73"/>
      <c r="H245" s="73"/>
      <c r="I245" s="73"/>
    </row>
    <row r="246" spans="4:9" x14ac:dyDescent="0.2">
      <c r="D246" s="108"/>
      <c r="E246" s="73"/>
      <c r="F246" s="73"/>
      <c r="G246" s="73"/>
      <c r="H246" s="73"/>
      <c r="I246" s="73"/>
    </row>
    <row r="247" spans="4:9" x14ac:dyDescent="0.2">
      <c r="D247" s="108"/>
      <c r="E247" s="73"/>
      <c r="F247" s="73"/>
      <c r="G247" s="73"/>
      <c r="H247" s="73"/>
      <c r="I247" s="73"/>
    </row>
    <row r="248" spans="4:9" x14ac:dyDescent="0.2">
      <c r="D248" s="108"/>
      <c r="E248" s="73"/>
      <c r="F248" s="73"/>
      <c r="G248" s="73"/>
      <c r="H248" s="73"/>
      <c r="I248" s="73"/>
    </row>
    <row r="249" spans="4:9" x14ac:dyDescent="0.2">
      <c r="D249" s="108"/>
      <c r="E249" s="73"/>
      <c r="F249" s="73"/>
      <c r="G249" s="73"/>
      <c r="H249" s="73"/>
      <c r="I249" s="73"/>
    </row>
    <row r="250" spans="4:9" x14ac:dyDescent="0.2">
      <c r="D250" s="108"/>
      <c r="E250" s="73"/>
      <c r="F250" s="73"/>
      <c r="G250" s="73"/>
      <c r="H250" s="73"/>
      <c r="I250" s="73"/>
    </row>
    <row r="251" spans="4:9" x14ac:dyDescent="0.2">
      <c r="D251" s="108"/>
      <c r="E251" s="73"/>
      <c r="F251" s="73"/>
      <c r="G251" s="73"/>
      <c r="H251" s="73"/>
      <c r="I251" s="73"/>
    </row>
    <row r="252" spans="4:9" x14ac:dyDescent="0.2">
      <c r="D252" s="108"/>
      <c r="E252" s="73"/>
      <c r="F252" s="73"/>
      <c r="G252" s="73"/>
      <c r="H252" s="73"/>
      <c r="I252" s="73"/>
    </row>
    <row r="253" spans="4:9" x14ac:dyDescent="0.2">
      <c r="D253" s="108"/>
      <c r="E253" s="73"/>
      <c r="F253" s="73"/>
      <c r="G253" s="73"/>
      <c r="H253" s="73"/>
      <c r="I253" s="73"/>
    </row>
    <row r="254" spans="4:9" x14ac:dyDescent="0.2">
      <c r="D254" s="108"/>
      <c r="E254" s="73"/>
      <c r="F254" s="73"/>
      <c r="G254" s="73"/>
      <c r="H254" s="73"/>
      <c r="I254" s="73"/>
    </row>
    <row r="255" spans="4:9" x14ac:dyDescent="0.2">
      <c r="D255" s="108"/>
      <c r="E255" s="73"/>
      <c r="F255" s="73"/>
      <c r="G255" s="73"/>
      <c r="H255" s="73"/>
      <c r="I255" s="73"/>
    </row>
    <row r="256" spans="4:9" x14ac:dyDescent="0.2">
      <c r="D256" s="108"/>
      <c r="E256" s="73"/>
      <c r="F256" s="73"/>
      <c r="G256" s="73"/>
      <c r="H256" s="73"/>
      <c r="I256" s="73"/>
    </row>
    <row r="257" spans="4:9" x14ac:dyDescent="0.2">
      <c r="D257" s="108"/>
      <c r="E257" s="73"/>
      <c r="F257" s="73"/>
      <c r="G257" s="73"/>
      <c r="H257" s="73"/>
      <c r="I257" s="73"/>
    </row>
    <row r="258" spans="4:9" x14ac:dyDescent="0.2">
      <c r="D258" s="108"/>
      <c r="E258" s="73"/>
      <c r="F258" s="73"/>
      <c r="G258" s="73"/>
      <c r="H258" s="73"/>
      <c r="I258" s="73"/>
    </row>
    <row r="259" spans="4:9" x14ac:dyDescent="0.2">
      <c r="D259" s="108"/>
      <c r="E259" s="73"/>
      <c r="F259" s="73"/>
      <c r="G259" s="73"/>
      <c r="H259" s="73"/>
      <c r="I259" s="73"/>
    </row>
    <row r="260" spans="4:9" x14ac:dyDescent="0.2">
      <c r="D260" s="108"/>
      <c r="E260" s="73"/>
      <c r="F260" s="73"/>
      <c r="G260" s="73"/>
      <c r="H260" s="73"/>
      <c r="I260" s="73"/>
    </row>
    <row r="261" spans="4:9" x14ac:dyDescent="0.2">
      <c r="D261" s="108"/>
      <c r="E261" s="73"/>
      <c r="F261" s="73"/>
      <c r="G261" s="73"/>
      <c r="H261" s="73"/>
      <c r="I261" s="73"/>
    </row>
    <row r="262" spans="4:9" x14ac:dyDescent="0.2">
      <c r="D262" s="108"/>
      <c r="E262" s="73"/>
      <c r="F262" s="73"/>
      <c r="G262" s="73"/>
      <c r="H262" s="73"/>
      <c r="I262" s="73"/>
    </row>
    <row r="263" spans="4:9" x14ac:dyDescent="0.2">
      <c r="D263" s="108"/>
      <c r="E263" s="73"/>
      <c r="F263" s="73"/>
      <c r="G263" s="73"/>
      <c r="H263" s="73"/>
      <c r="I263" s="73"/>
    </row>
    <row r="264" spans="4:9" x14ac:dyDescent="0.2">
      <c r="D264" s="108"/>
      <c r="E264" s="73"/>
      <c r="F264" s="73"/>
      <c r="G264" s="73"/>
      <c r="H264" s="73"/>
      <c r="I264" s="73"/>
    </row>
    <row r="265" spans="4:9" x14ac:dyDescent="0.2">
      <c r="D265" s="108"/>
      <c r="E265" s="73"/>
      <c r="F265" s="73"/>
      <c r="G265" s="73"/>
      <c r="H265" s="73"/>
      <c r="I265" s="73"/>
    </row>
    <row r="266" spans="4:9" x14ac:dyDescent="0.2">
      <c r="D266" s="108"/>
      <c r="E266" s="73"/>
      <c r="F266" s="73"/>
      <c r="G266" s="73"/>
      <c r="H266" s="73"/>
      <c r="I266" s="73"/>
    </row>
    <row r="267" spans="4:9" x14ac:dyDescent="0.2">
      <c r="D267" s="108"/>
      <c r="E267" s="73"/>
      <c r="F267" s="73"/>
      <c r="G267" s="73"/>
      <c r="H267" s="73"/>
      <c r="I267" s="73"/>
    </row>
    <row r="268" spans="4:9" x14ac:dyDescent="0.2">
      <c r="D268" s="108"/>
      <c r="E268" s="73"/>
      <c r="F268" s="73"/>
      <c r="G268" s="73"/>
      <c r="H268" s="73"/>
      <c r="I268" s="73"/>
    </row>
    <row r="269" spans="4:9" x14ac:dyDescent="0.2">
      <c r="D269" s="108"/>
      <c r="E269" s="73"/>
      <c r="F269" s="73"/>
      <c r="G269" s="73"/>
      <c r="H269" s="73"/>
      <c r="I269" s="73"/>
    </row>
    <row r="270" spans="4:9" x14ac:dyDescent="0.2">
      <c r="D270" s="108"/>
      <c r="E270" s="73"/>
      <c r="F270" s="73"/>
      <c r="G270" s="73"/>
      <c r="H270" s="73"/>
      <c r="I270" s="73"/>
    </row>
    <row r="271" spans="4:9" x14ac:dyDescent="0.2">
      <c r="D271" s="108"/>
      <c r="E271" s="73"/>
      <c r="F271" s="73"/>
      <c r="G271" s="73"/>
      <c r="H271" s="73"/>
      <c r="I271" s="73"/>
    </row>
    <row r="272" spans="4:9" x14ac:dyDescent="0.2">
      <c r="D272" s="108"/>
      <c r="E272" s="73"/>
      <c r="F272" s="73"/>
      <c r="G272" s="73"/>
      <c r="H272" s="73"/>
      <c r="I272" s="73"/>
    </row>
    <row r="273" spans="4:9" x14ac:dyDescent="0.2">
      <c r="D273" s="108"/>
      <c r="E273" s="73"/>
      <c r="F273" s="73"/>
      <c r="G273" s="73"/>
      <c r="H273" s="73"/>
      <c r="I273" s="73"/>
    </row>
    <row r="274" spans="4:9" x14ac:dyDescent="0.2">
      <c r="D274" s="108"/>
      <c r="E274" s="73"/>
      <c r="F274" s="73"/>
      <c r="G274" s="73"/>
      <c r="H274" s="73"/>
      <c r="I274" s="73"/>
    </row>
    <row r="275" spans="4:9" x14ac:dyDescent="0.2">
      <c r="D275" s="108"/>
      <c r="E275" s="73"/>
      <c r="F275" s="73"/>
      <c r="G275" s="73"/>
      <c r="H275" s="73"/>
      <c r="I275" s="73"/>
    </row>
    <row r="276" spans="4:9" x14ac:dyDescent="0.2">
      <c r="D276" s="108"/>
      <c r="E276" s="73"/>
      <c r="F276" s="73"/>
      <c r="G276" s="73"/>
      <c r="H276" s="73"/>
      <c r="I276" s="73"/>
    </row>
    <row r="277" spans="4:9" x14ac:dyDescent="0.2">
      <c r="D277" s="108"/>
      <c r="E277" s="73"/>
      <c r="F277" s="73"/>
      <c r="G277" s="73"/>
      <c r="H277" s="73"/>
      <c r="I277" s="73"/>
    </row>
    <row r="278" spans="4:9" x14ac:dyDescent="0.2">
      <c r="D278" s="108"/>
      <c r="E278" s="73"/>
      <c r="F278" s="73"/>
      <c r="G278" s="73"/>
      <c r="H278" s="73"/>
      <c r="I278" s="73"/>
    </row>
    <row r="279" spans="4:9" x14ac:dyDescent="0.2">
      <c r="D279" s="108"/>
      <c r="E279" s="73"/>
      <c r="F279" s="73"/>
      <c r="G279" s="73"/>
      <c r="H279" s="73"/>
      <c r="I279" s="73"/>
    </row>
    <row r="280" spans="4:9" x14ac:dyDescent="0.2">
      <c r="D280" s="108"/>
      <c r="E280" s="73"/>
      <c r="F280" s="73"/>
      <c r="G280" s="73"/>
      <c r="H280" s="73"/>
      <c r="I280" s="73"/>
    </row>
    <row r="281" spans="4:9" x14ac:dyDescent="0.2">
      <c r="D281" s="108"/>
      <c r="E281" s="73"/>
      <c r="F281" s="73"/>
      <c r="G281" s="73"/>
      <c r="H281" s="73"/>
      <c r="I281" s="73"/>
    </row>
    <row r="282" spans="4:9" x14ac:dyDescent="0.2">
      <c r="D282" s="108"/>
      <c r="E282" s="73"/>
      <c r="F282" s="73"/>
      <c r="G282" s="73"/>
      <c r="H282" s="73"/>
      <c r="I282" s="73"/>
    </row>
    <row r="283" spans="4:9" x14ac:dyDescent="0.2">
      <c r="D283" s="108"/>
      <c r="E283" s="73"/>
      <c r="F283" s="73"/>
      <c r="G283" s="73"/>
      <c r="H283" s="73"/>
      <c r="I283" s="73"/>
    </row>
    <row r="284" spans="4:9" x14ac:dyDescent="0.2">
      <c r="D284" s="108"/>
      <c r="E284" s="73"/>
      <c r="F284" s="73"/>
      <c r="G284" s="73"/>
      <c r="H284" s="73"/>
      <c r="I284" s="73"/>
    </row>
    <row r="285" spans="4:9" x14ac:dyDescent="0.2">
      <c r="D285" s="108"/>
      <c r="E285" s="73"/>
      <c r="F285" s="73"/>
      <c r="G285" s="73"/>
      <c r="H285" s="73"/>
      <c r="I285" s="73"/>
    </row>
    <row r="286" spans="4:9" x14ac:dyDescent="0.2">
      <c r="D286" s="108"/>
      <c r="E286" s="73"/>
      <c r="F286" s="73"/>
      <c r="G286" s="73"/>
      <c r="H286" s="73"/>
      <c r="I286" s="73"/>
    </row>
    <row r="287" spans="4:9" x14ac:dyDescent="0.2">
      <c r="D287" s="108"/>
      <c r="E287" s="73"/>
      <c r="F287" s="73"/>
      <c r="G287" s="73"/>
      <c r="H287" s="73"/>
      <c r="I287" s="73"/>
    </row>
    <row r="288" spans="4:9" x14ac:dyDescent="0.2">
      <c r="D288" s="108"/>
      <c r="E288" s="73"/>
      <c r="F288" s="73"/>
      <c r="G288" s="73"/>
      <c r="H288" s="73"/>
      <c r="I288" s="73"/>
    </row>
    <row r="289" spans="4:9" x14ac:dyDescent="0.2">
      <c r="D289" s="108"/>
      <c r="E289" s="73"/>
      <c r="F289" s="73"/>
      <c r="G289" s="73"/>
      <c r="H289" s="73"/>
      <c r="I289" s="73"/>
    </row>
    <row r="290" spans="4:9" x14ac:dyDescent="0.2">
      <c r="D290" s="108"/>
      <c r="E290" s="73"/>
      <c r="F290" s="73"/>
      <c r="G290" s="73"/>
      <c r="H290" s="73"/>
      <c r="I290" s="73"/>
    </row>
    <row r="291" spans="4:9" x14ac:dyDescent="0.2">
      <c r="D291" s="108"/>
      <c r="E291" s="73"/>
      <c r="F291" s="73"/>
      <c r="G291" s="73"/>
      <c r="H291" s="73"/>
      <c r="I291" s="73"/>
    </row>
    <row r="292" spans="4:9" x14ac:dyDescent="0.2">
      <c r="D292" s="108"/>
      <c r="E292" s="73"/>
      <c r="F292" s="73"/>
      <c r="G292" s="73"/>
      <c r="H292" s="73"/>
      <c r="I292" s="73"/>
    </row>
    <row r="293" spans="4:9" x14ac:dyDescent="0.2">
      <c r="D293" s="108"/>
      <c r="E293" s="73"/>
      <c r="F293" s="73"/>
      <c r="G293" s="73"/>
      <c r="H293" s="73"/>
      <c r="I293" s="73"/>
    </row>
    <row r="294" spans="4:9" x14ac:dyDescent="0.2">
      <c r="D294" s="108"/>
      <c r="E294" s="73"/>
      <c r="F294" s="73"/>
      <c r="G294" s="73"/>
      <c r="H294" s="73"/>
      <c r="I294" s="73"/>
    </row>
    <row r="295" spans="4:9" x14ac:dyDescent="0.2">
      <c r="D295" s="108"/>
      <c r="E295" s="73"/>
      <c r="F295" s="73"/>
      <c r="G295" s="73"/>
      <c r="H295" s="73"/>
      <c r="I295" s="73"/>
    </row>
    <row r="296" spans="4:9" x14ac:dyDescent="0.2">
      <c r="D296" s="108"/>
      <c r="E296" s="73"/>
      <c r="F296" s="73"/>
      <c r="G296" s="73"/>
      <c r="H296" s="73"/>
      <c r="I296" s="73"/>
    </row>
    <row r="297" spans="4:9" x14ac:dyDescent="0.2">
      <c r="D297" s="108"/>
      <c r="E297" s="73"/>
      <c r="F297" s="73"/>
      <c r="G297" s="73"/>
      <c r="H297" s="73"/>
      <c r="I297" s="73"/>
    </row>
    <row r="298" spans="4:9" x14ac:dyDescent="0.2">
      <c r="D298" s="108"/>
      <c r="E298" s="73"/>
      <c r="F298" s="73"/>
      <c r="G298" s="73"/>
      <c r="H298" s="73"/>
      <c r="I298" s="73"/>
    </row>
    <row r="299" spans="4:9" x14ac:dyDescent="0.2">
      <c r="D299" s="108"/>
      <c r="E299" s="73"/>
      <c r="F299" s="73"/>
      <c r="G299" s="73"/>
      <c r="H299" s="73"/>
      <c r="I299" s="73"/>
    </row>
    <row r="300" spans="4:9" x14ac:dyDescent="0.2">
      <c r="D300" s="108"/>
      <c r="E300" s="73"/>
      <c r="F300" s="73"/>
      <c r="G300" s="73"/>
      <c r="H300" s="73"/>
      <c r="I300" s="73"/>
    </row>
    <row r="301" spans="4:9" x14ac:dyDescent="0.2">
      <c r="D301" s="108"/>
      <c r="E301" s="73"/>
      <c r="F301" s="73"/>
      <c r="G301" s="73"/>
      <c r="H301" s="73"/>
      <c r="I301" s="73"/>
    </row>
    <row r="302" spans="4:9" x14ac:dyDescent="0.2">
      <c r="D302" s="108"/>
      <c r="E302" s="73"/>
      <c r="F302" s="73"/>
      <c r="G302" s="73"/>
      <c r="H302" s="73"/>
      <c r="I302" s="73"/>
    </row>
    <row r="303" spans="4:9" x14ac:dyDescent="0.2">
      <c r="D303" s="108"/>
      <c r="E303" s="73"/>
      <c r="F303" s="73"/>
      <c r="G303" s="73"/>
      <c r="H303" s="73"/>
      <c r="I303" s="73"/>
    </row>
    <row r="304" spans="4:9" x14ac:dyDescent="0.2">
      <c r="D304" s="108"/>
      <c r="E304" s="73"/>
      <c r="F304" s="73"/>
      <c r="G304" s="73"/>
      <c r="H304" s="73"/>
      <c r="I304" s="73"/>
    </row>
    <row r="305" spans="4:9" x14ac:dyDescent="0.2">
      <c r="D305" s="108"/>
      <c r="E305" s="73"/>
      <c r="F305" s="73"/>
      <c r="G305" s="73"/>
      <c r="H305" s="73"/>
      <c r="I305" s="73"/>
    </row>
    <row r="306" spans="4:9" x14ac:dyDescent="0.2">
      <c r="D306" s="108"/>
      <c r="E306" s="73"/>
      <c r="F306" s="73"/>
      <c r="G306" s="73"/>
      <c r="H306" s="73"/>
      <c r="I306" s="73"/>
    </row>
    <row r="307" spans="4:9" x14ac:dyDescent="0.2">
      <c r="D307" s="108"/>
      <c r="E307" s="73"/>
      <c r="F307" s="73"/>
      <c r="G307" s="73"/>
      <c r="H307" s="73"/>
      <c r="I307" s="73"/>
    </row>
    <row r="308" spans="4:9" x14ac:dyDescent="0.2">
      <c r="D308" s="108"/>
      <c r="E308" s="73"/>
      <c r="F308" s="73"/>
      <c r="G308" s="73"/>
      <c r="H308" s="73"/>
      <c r="I308" s="73"/>
    </row>
    <row r="309" spans="4:9" x14ac:dyDescent="0.2">
      <c r="D309" s="108"/>
      <c r="E309" s="73"/>
      <c r="F309" s="73"/>
      <c r="G309" s="73"/>
      <c r="H309" s="73"/>
      <c r="I309" s="73"/>
    </row>
    <row r="310" spans="4:9" x14ac:dyDescent="0.2">
      <c r="D310" s="108"/>
      <c r="E310" s="73"/>
      <c r="F310" s="73"/>
      <c r="G310" s="73"/>
      <c r="H310" s="73"/>
      <c r="I310" s="73"/>
    </row>
    <row r="311" spans="4:9" x14ac:dyDescent="0.2">
      <c r="D311" s="108"/>
      <c r="E311" s="73"/>
      <c r="F311" s="73"/>
      <c r="G311" s="73"/>
      <c r="H311" s="73"/>
      <c r="I311" s="73"/>
    </row>
    <row r="312" spans="4:9" x14ac:dyDescent="0.2">
      <c r="D312" s="108"/>
      <c r="E312" s="73"/>
      <c r="F312" s="73"/>
      <c r="G312" s="73"/>
      <c r="H312" s="73"/>
      <c r="I312" s="73"/>
    </row>
    <row r="313" spans="4:9" x14ac:dyDescent="0.2">
      <c r="D313" s="108"/>
      <c r="E313" s="73"/>
      <c r="F313" s="73"/>
      <c r="G313" s="73"/>
      <c r="H313" s="73"/>
      <c r="I313" s="73"/>
    </row>
    <row r="314" spans="4:9" x14ac:dyDescent="0.2">
      <c r="D314" s="108"/>
      <c r="E314" s="73"/>
      <c r="F314" s="73"/>
      <c r="G314" s="73"/>
      <c r="H314" s="73"/>
      <c r="I314" s="73"/>
    </row>
    <row r="315" spans="4:9" x14ac:dyDescent="0.2">
      <c r="D315" s="108"/>
      <c r="E315" s="73"/>
      <c r="F315" s="73"/>
      <c r="G315" s="73"/>
      <c r="H315" s="73"/>
      <c r="I315" s="73"/>
    </row>
    <row r="316" spans="4:9" x14ac:dyDescent="0.2">
      <c r="D316" s="108"/>
      <c r="E316" s="73"/>
      <c r="F316" s="73"/>
      <c r="G316" s="73"/>
      <c r="H316" s="73"/>
      <c r="I316" s="73"/>
    </row>
    <row r="317" spans="4:9" x14ac:dyDescent="0.2">
      <c r="D317" s="108"/>
      <c r="E317" s="73"/>
      <c r="F317" s="73"/>
      <c r="G317" s="73"/>
      <c r="H317" s="73"/>
      <c r="I317" s="73"/>
    </row>
    <row r="318" spans="4:9" x14ac:dyDescent="0.2">
      <c r="D318" s="108"/>
      <c r="E318" s="73"/>
      <c r="F318" s="73"/>
      <c r="G318" s="73"/>
      <c r="H318" s="73"/>
      <c r="I318" s="73"/>
    </row>
    <row r="319" spans="4:9" x14ac:dyDescent="0.2">
      <c r="D319" s="108"/>
      <c r="E319" s="73"/>
      <c r="F319" s="73"/>
      <c r="G319" s="73"/>
      <c r="H319" s="73"/>
      <c r="I319" s="73"/>
    </row>
    <row r="320" spans="4:9" x14ac:dyDescent="0.2">
      <c r="D320" s="108"/>
      <c r="E320" s="73"/>
      <c r="F320" s="73"/>
      <c r="G320" s="73"/>
      <c r="H320" s="73"/>
      <c r="I320" s="73"/>
    </row>
    <row r="321" spans="4:9" x14ac:dyDescent="0.2">
      <c r="D321" s="108"/>
      <c r="E321" s="73"/>
      <c r="F321" s="73"/>
      <c r="G321" s="73"/>
      <c r="H321" s="73"/>
      <c r="I321" s="73"/>
    </row>
    <row r="322" spans="4:9" x14ac:dyDescent="0.2">
      <c r="D322" s="108"/>
      <c r="E322" s="73"/>
      <c r="F322" s="73"/>
      <c r="G322" s="73"/>
      <c r="H322" s="73"/>
      <c r="I322" s="73"/>
    </row>
    <row r="323" spans="4:9" x14ac:dyDescent="0.2">
      <c r="D323" s="108"/>
      <c r="E323" s="73"/>
      <c r="F323" s="73"/>
      <c r="G323" s="73"/>
      <c r="H323" s="73"/>
      <c r="I323" s="73"/>
    </row>
    <row r="324" spans="4:9" x14ac:dyDescent="0.2">
      <c r="D324" s="108"/>
      <c r="E324" s="73"/>
      <c r="F324" s="73"/>
      <c r="G324" s="73"/>
      <c r="H324" s="73"/>
      <c r="I324" s="73"/>
    </row>
    <row r="325" spans="4:9" x14ac:dyDescent="0.2">
      <c r="D325" s="108"/>
      <c r="E325" s="73"/>
      <c r="F325" s="73"/>
      <c r="G325" s="73"/>
      <c r="H325" s="73"/>
      <c r="I325" s="73"/>
    </row>
    <row r="326" spans="4:9" x14ac:dyDescent="0.2">
      <c r="D326" s="108"/>
      <c r="E326" s="73"/>
      <c r="F326" s="73"/>
      <c r="G326" s="73"/>
      <c r="H326" s="73"/>
      <c r="I326" s="73"/>
    </row>
    <row r="327" spans="4:9" x14ac:dyDescent="0.2">
      <c r="D327" s="108"/>
      <c r="E327" s="73"/>
      <c r="F327" s="73"/>
      <c r="G327" s="73"/>
      <c r="H327" s="73"/>
      <c r="I327" s="73"/>
    </row>
    <row r="328" spans="4:9" x14ac:dyDescent="0.2">
      <c r="D328" s="108"/>
      <c r="E328" s="73"/>
      <c r="F328" s="73"/>
      <c r="G328" s="73"/>
      <c r="H328" s="73"/>
      <c r="I328" s="73"/>
    </row>
    <row r="329" spans="4:9" x14ac:dyDescent="0.2">
      <c r="D329" s="108"/>
      <c r="E329" s="73"/>
      <c r="F329" s="73"/>
      <c r="G329" s="73"/>
      <c r="H329" s="73"/>
      <c r="I329" s="73"/>
    </row>
    <row r="330" spans="4:9" x14ac:dyDescent="0.2">
      <c r="D330" s="108"/>
      <c r="E330" s="73"/>
      <c r="F330" s="73"/>
      <c r="G330" s="73"/>
      <c r="H330" s="73"/>
      <c r="I330" s="73"/>
    </row>
    <row r="331" spans="4:9" x14ac:dyDescent="0.2">
      <c r="D331" s="108"/>
      <c r="E331" s="73"/>
      <c r="F331" s="73"/>
      <c r="G331" s="73"/>
      <c r="H331" s="73"/>
      <c r="I331" s="73"/>
    </row>
    <row r="332" spans="4:9" x14ac:dyDescent="0.2">
      <c r="D332" s="108"/>
      <c r="E332" s="73"/>
      <c r="F332" s="73"/>
      <c r="G332" s="73"/>
      <c r="H332" s="73"/>
      <c r="I332" s="73"/>
    </row>
    <row r="333" spans="4:9" x14ac:dyDescent="0.2">
      <c r="D333" s="108"/>
      <c r="E333" s="73"/>
      <c r="F333" s="73"/>
      <c r="G333" s="73"/>
      <c r="H333" s="73"/>
      <c r="I333" s="73"/>
    </row>
    <row r="334" spans="4:9" x14ac:dyDescent="0.2">
      <c r="D334" s="108"/>
      <c r="E334" s="73"/>
      <c r="F334" s="73"/>
      <c r="G334" s="73"/>
      <c r="H334" s="73"/>
      <c r="I334" s="73"/>
    </row>
    <row r="335" spans="4:9" x14ac:dyDescent="0.2">
      <c r="D335" s="108"/>
      <c r="E335" s="73"/>
      <c r="F335" s="73"/>
      <c r="G335" s="73"/>
      <c r="H335" s="73"/>
      <c r="I335" s="73"/>
    </row>
    <row r="336" spans="4:9" x14ac:dyDescent="0.2">
      <c r="D336" s="108"/>
      <c r="E336" s="73"/>
      <c r="F336" s="73"/>
      <c r="G336" s="73"/>
      <c r="H336" s="73"/>
      <c r="I336" s="73"/>
    </row>
    <row r="337" spans="4:9" x14ac:dyDescent="0.2">
      <c r="D337" s="108"/>
      <c r="E337" s="73"/>
      <c r="F337" s="73"/>
      <c r="G337" s="73"/>
      <c r="H337" s="73"/>
      <c r="I337" s="73"/>
    </row>
    <row r="338" spans="4:9" x14ac:dyDescent="0.2">
      <c r="D338" s="108"/>
      <c r="E338" s="73"/>
      <c r="F338" s="73"/>
      <c r="G338" s="73"/>
      <c r="H338" s="73"/>
      <c r="I338" s="73"/>
    </row>
    <row r="339" spans="4:9" x14ac:dyDescent="0.2">
      <c r="D339" s="108"/>
      <c r="E339" s="73"/>
      <c r="F339" s="73"/>
      <c r="G339" s="73"/>
      <c r="H339" s="73"/>
      <c r="I339" s="73"/>
    </row>
    <row r="340" spans="4:9" x14ac:dyDescent="0.2">
      <c r="D340" s="108"/>
      <c r="E340" s="73"/>
      <c r="F340" s="73"/>
      <c r="G340" s="73"/>
      <c r="H340" s="73"/>
      <c r="I340" s="73"/>
    </row>
    <row r="341" spans="4:9" x14ac:dyDescent="0.2">
      <c r="D341" s="108"/>
      <c r="E341" s="73"/>
      <c r="F341" s="73"/>
      <c r="G341" s="73"/>
      <c r="H341" s="73"/>
      <c r="I341" s="73"/>
    </row>
    <row r="342" spans="4:9" x14ac:dyDescent="0.2">
      <c r="D342" s="108"/>
      <c r="E342" s="73"/>
      <c r="F342" s="73"/>
      <c r="G342" s="73"/>
      <c r="H342" s="73"/>
      <c r="I342" s="73"/>
    </row>
    <row r="343" spans="4:9" x14ac:dyDescent="0.2">
      <c r="D343" s="108"/>
      <c r="E343" s="73"/>
      <c r="F343" s="73"/>
      <c r="G343" s="73"/>
      <c r="H343" s="73"/>
      <c r="I343" s="73"/>
    </row>
    <row r="344" spans="4:9" x14ac:dyDescent="0.2">
      <c r="D344" s="108"/>
      <c r="E344" s="73"/>
      <c r="F344" s="73"/>
      <c r="G344" s="73"/>
      <c r="H344" s="73"/>
      <c r="I344" s="73"/>
    </row>
    <row r="345" spans="4:9" x14ac:dyDescent="0.2">
      <c r="D345" s="108"/>
      <c r="E345" s="73"/>
      <c r="F345" s="73"/>
      <c r="G345" s="73"/>
      <c r="H345" s="73"/>
      <c r="I345" s="73"/>
    </row>
    <row r="346" spans="4:9" x14ac:dyDescent="0.2">
      <c r="D346" s="108"/>
      <c r="E346" s="73"/>
      <c r="F346" s="73"/>
      <c r="G346" s="73"/>
      <c r="H346" s="73"/>
      <c r="I346" s="73"/>
    </row>
    <row r="347" spans="4:9" x14ac:dyDescent="0.2">
      <c r="D347" s="108"/>
      <c r="E347" s="73"/>
      <c r="F347" s="73"/>
      <c r="G347" s="73"/>
      <c r="H347" s="73"/>
      <c r="I347" s="73"/>
    </row>
    <row r="348" spans="4:9" x14ac:dyDescent="0.2">
      <c r="D348" s="108"/>
      <c r="E348" s="73"/>
      <c r="F348" s="73"/>
      <c r="G348" s="73"/>
      <c r="H348" s="73"/>
      <c r="I348" s="73"/>
    </row>
    <row r="349" spans="4:9" x14ac:dyDescent="0.2">
      <c r="D349" s="108"/>
      <c r="E349" s="73"/>
      <c r="F349" s="73"/>
      <c r="G349" s="73"/>
      <c r="H349" s="73"/>
      <c r="I349" s="73"/>
    </row>
    <row r="350" spans="4:9" x14ac:dyDescent="0.2">
      <c r="D350" s="108"/>
      <c r="E350" s="73"/>
      <c r="F350" s="73"/>
      <c r="G350" s="73"/>
      <c r="H350" s="73"/>
      <c r="I350" s="73"/>
    </row>
    <row r="351" spans="4:9" x14ac:dyDescent="0.2">
      <c r="D351" s="108"/>
      <c r="E351" s="73"/>
      <c r="F351" s="73"/>
      <c r="G351" s="73"/>
      <c r="H351" s="73"/>
      <c r="I351" s="73"/>
    </row>
    <row r="352" spans="4:9" x14ac:dyDescent="0.2">
      <c r="D352" s="108"/>
      <c r="E352" s="73"/>
      <c r="F352" s="73"/>
      <c r="G352" s="73"/>
      <c r="H352" s="73"/>
      <c r="I352" s="73"/>
    </row>
    <row r="353" spans="4:9" x14ac:dyDescent="0.2">
      <c r="D353" s="108"/>
      <c r="E353" s="73"/>
      <c r="F353" s="73"/>
      <c r="G353" s="73"/>
      <c r="H353" s="73"/>
      <c r="I353" s="73"/>
    </row>
    <row r="354" spans="4:9" x14ac:dyDescent="0.2">
      <c r="D354" s="108"/>
      <c r="E354" s="73"/>
      <c r="F354" s="73"/>
      <c r="G354" s="73"/>
      <c r="H354" s="73"/>
      <c r="I354" s="73"/>
    </row>
    <row r="355" spans="4:9" x14ac:dyDescent="0.2">
      <c r="D355" s="108"/>
      <c r="E355" s="73"/>
      <c r="F355" s="73"/>
      <c r="G355" s="73"/>
      <c r="H355" s="73"/>
      <c r="I355" s="73"/>
    </row>
    <row r="356" spans="4:9" x14ac:dyDescent="0.2">
      <c r="D356" s="108"/>
      <c r="E356" s="73"/>
      <c r="F356" s="73"/>
      <c r="G356" s="73"/>
      <c r="H356" s="73"/>
      <c r="I356" s="73"/>
    </row>
    <row r="357" spans="4:9" x14ac:dyDescent="0.2">
      <c r="D357" s="108"/>
      <c r="E357" s="73"/>
      <c r="F357" s="73"/>
      <c r="G357" s="73"/>
      <c r="H357" s="73"/>
      <c r="I357" s="73"/>
    </row>
    <row r="358" spans="4:9" x14ac:dyDescent="0.2">
      <c r="D358" s="108"/>
      <c r="E358" s="73"/>
      <c r="F358" s="73"/>
      <c r="G358" s="73"/>
      <c r="H358" s="73"/>
      <c r="I358" s="73"/>
    </row>
    <row r="359" spans="4:9" x14ac:dyDescent="0.2">
      <c r="D359" s="108"/>
      <c r="E359" s="73"/>
      <c r="F359" s="73"/>
      <c r="G359" s="73"/>
      <c r="H359" s="73"/>
      <c r="I359" s="73"/>
    </row>
    <row r="360" spans="4:9" x14ac:dyDescent="0.2">
      <c r="D360" s="108"/>
      <c r="E360" s="73"/>
      <c r="F360" s="73"/>
      <c r="G360" s="73"/>
      <c r="H360" s="73"/>
      <c r="I360" s="73"/>
    </row>
    <row r="361" spans="4:9" x14ac:dyDescent="0.2">
      <c r="D361" s="108"/>
      <c r="E361" s="73"/>
      <c r="F361" s="73"/>
      <c r="G361" s="73"/>
      <c r="H361" s="73"/>
      <c r="I361" s="73"/>
    </row>
    <row r="362" spans="4:9" x14ac:dyDescent="0.2">
      <c r="D362" s="108"/>
      <c r="E362" s="73"/>
      <c r="F362" s="73"/>
      <c r="G362" s="73"/>
      <c r="H362" s="73"/>
      <c r="I362" s="73"/>
    </row>
    <row r="363" spans="4:9" x14ac:dyDescent="0.2">
      <c r="D363" s="108"/>
      <c r="E363" s="73"/>
      <c r="F363" s="73"/>
      <c r="G363" s="73"/>
      <c r="H363" s="73"/>
      <c r="I363" s="73"/>
    </row>
    <row r="364" spans="4:9" x14ac:dyDescent="0.2">
      <c r="D364" s="108"/>
      <c r="E364" s="73"/>
      <c r="F364" s="73"/>
      <c r="G364" s="73"/>
      <c r="H364" s="73"/>
      <c r="I364" s="73"/>
    </row>
    <row r="365" spans="4:9" x14ac:dyDescent="0.2">
      <c r="D365" s="108"/>
      <c r="E365" s="73"/>
      <c r="F365" s="73"/>
      <c r="G365" s="73"/>
      <c r="H365" s="73"/>
      <c r="I365" s="73"/>
    </row>
    <row r="366" spans="4:9" x14ac:dyDescent="0.2">
      <c r="D366" s="108"/>
      <c r="E366" s="73"/>
      <c r="F366" s="73"/>
      <c r="G366" s="73"/>
      <c r="H366" s="73"/>
      <c r="I366" s="73"/>
    </row>
    <row r="367" spans="4:9" x14ac:dyDescent="0.2">
      <c r="D367" s="108"/>
      <c r="E367" s="73"/>
      <c r="F367" s="73"/>
      <c r="G367" s="73"/>
      <c r="H367" s="73"/>
      <c r="I367" s="73"/>
    </row>
    <row r="368" spans="4:9" x14ac:dyDescent="0.2">
      <c r="D368" s="108"/>
      <c r="E368" s="73"/>
      <c r="F368" s="73"/>
      <c r="G368" s="73"/>
      <c r="H368" s="73"/>
      <c r="I368" s="73"/>
    </row>
    <row r="369" spans="4:9" x14ac:dyDescent="0.2">
      <c r="D369" s="108"/>
      <c r="E369" s="73"/>
      <c r="F369" s="73"/>
      <c r="G369" s="73"/>
      <c r="H369" s="73"/>
      <c r="I369" s="73"/>
    </row>
    <row r="370" spans="4:9" x14ac:dyDescent="0.2">
      <c r="D370" s="108"/>
      <c r="E370" s="73"/>
      <c r="F370" s="73"/>
      <c r="G370" s="73"/>
      <c r="H370" s="73"/>
      <c r="I370" s="73"/>
    </row>
    <row r="371" spans="4:9" x14ac:dyDescent="0.2">
      <c r="D371" s="108"/>
      <c r="E371" s="73"/>
      <c r="F371" s="73"/>
      <c r="G371" s="73"/>
      <c r="H371" s="73"/>
      <c r="I371" s="73"/>
    </row>
    <row r="372" spans="4:9" x14ac:dyDescent="0.2">
      <c r="D372" s="108"/>
      <c r="E372" s="73"/>
      <c r="F372" s="73"/>
      <c r="G372" s="73"/>
      <c r="H372" s="73"/>
      <c r="I372" s="73"/>
    </row>
    <row r="373" spans="4:9" x14ac:dyDescent="0.2">
      <c r="D373" s="108"/>
      <c r="E373" s="73"/>
      <c r="F373" s="73"/>
      <c r="G373" s="73"/>
      <c r="H373" s="73"/>
      <c r="I373" s="73"/>
    </row>
    <row r="374" spans="4:9" x14ac:dyDescent="0.2">
      <c r="D374" s="108"/>
      <c r="E374" s="73"/>
      <c r="F374" s="73"/>
      <c r="G374" s="73"/>
      <c r="H374" s="73"/>
      <c r="I374" s="73"/>
    </row>
    <row r="375" spans="4:9" x14ac:dyDescent="0.2">
      <c r="D375" s="108"/>
      <c r="E375" s="73"/>
      <c r="F375" s="73"/>
      <c r="G375" s="73"/>
      <c r="H375" s="73"/>
      <c r="I375" s="73"/>
    </row>
    <row r="376" spans="4:9" x14ac:dyDescent="0.2">
      <c r="D376" s="108"/>
      <c r="E376" s="73"/>
      <c r="F376" s="73"/>
      <c r="G376" s="73"/>
      <c r="H376" s="73"/>
      <c r="I376" s="73"/>
    </row>
    <row r="377" spans="4:9" x14ac:dyDescent="0.2">
      <c r="D377" s="108"/>
      <c r="E377" s="73"/>
      <c r="F377" s="73"/>
      <c r="G377" s="73"/>
      <c r="H377" s="73"/>
      <c r="I377" s="73"/>
    </row>
    <row r="378" spans="4:9" x14ac:dyDescent="0.2">
      <c r="D378" s="108"/>
      <c r="E378" s="73"/>
      <c r="F378" s="73"/>
      <c r="G378" s="73"/>
      <c r="H378" s="73"/>
      <c r="I378" s="73"/>
    </row>
    <row r="379" spans="4:9" x14ac:dyDescent="0.2">
      <c r="D379" s="108"/>
      <c r="E379" s="73"/>
      <c r="F379" s="73"/>
      <c r="G379" s="73"/>
      <c r="H379" s="73"/>
      <c r="I379" s="73"/>
    </row>
    <row r="380" spans="4:9" x14ac:dyDescent="0.2">
      <c r="D380" s="108"/>
      <c r="E380" s="73"/>
      <c r="F380" s="73"/>
      <c r="G380" s="73"/>
      <c r="H380" s="73"/>
      <c r="I380" s="73"/>
    </row>
    <row r="381" spans="4:9" x14ac:dyDescent="0.2">
      <c r="D381" s="108"/>
      <c r="E381" s="73"/>
      <c r="F381" s="73"/>
      <c r="G381" s="73"/>
      <c r="H381" s="73"/>
      <c r="I381" s="73"/>
    </row>
    <row r="382" spans="4:9" x14ac:dyDescent="0.2">
      <c r="D382" s="108"/>
      <c r="E382" s="73"/>
      <c r="F382" s="73"/>
      <c r="G382" s="73"/>
      <c r="H382" s="73"/>
      <c r="I382" s="73"/>
    </row>
    <row r="383" spans="4:9" x14ac:dyDescent="0.2">
      <c r="D383" s="108"/>
      <c r="E383" s="73"/>
      <c r="F383" s="73"/>
      <c r="G383" s="73"/>
      <c r="H383" s="73"/>
      <c r="I383" s="73"/>
    </row>
    <row r="384" spans="4:9" x14ac:dyDescent="0.2">
      <c r="D384" s="108"/>
      <c r="E384" s="73"/>
      <c r="F384" s="73"/>
      <c r="G384" s="73"/>
      <c r="H384" s="73"/>
      <c r="I384" s="73"/>
    </row>
    <row r="385" spans="4:9" x14ac:dyDescent="0.2">
      <c r="D385" s="108"/>
      <c r="E385" s="73"/>
      <c r="F385" s="73"/>
      <c r="G385" s="73"/>
      <c r="H385" s="73"/>
      <c r="I385" s="73"/>
    </row>
    <row r="386" spans="4:9" x14ac:dyDescent="0.2">
      <c r="D386" s="108"/>
      <c r="E386" s="73"/>
      <c r="F386" s="73"/>
      <c r="G386" s="73"/>
      <c r="H386" s="73"/>
      <c r="I386" s="73"/>
    </row>
    <row r="387" spans="4:9" x14ac:dyDescent="0.2">
      <c r="D387" s="108"/>
      <c r="E387" s="73"/>
      <c r="F387" s="73"/>
      <c r="G387" s="73"/>
      <c r="H387" s="73"/>
      <c r="I387" s="73"/>
    </row>
    <row r="388" spans="4:9" x14ac:dyDescent="0.2">
      <c r="D388" s="108"/>
      <c r="E388" s="73"/>
      <c r="F388" s="73"/>
      <c r="G388" s="73"/>
      <c r="H388" s="73"/>
      <c r="I388" s="73"/>
    </row>
    <row r="389" spans="4:9" x14ac:dyDescent="0.2">
      <c r="D389" s="108"/>
      <c r="E389" s="73"/>
      <c r="F389" s="73"/>
      <c r="G389" s="73"/>
      <c r="H389" s="73"/>
      <c r="I389" s="73"/>
    </row>
    <row r="390" spans="4:9" x14ac:dyDescent="0.2">
      <c r="D390" s="108"/>
      <c r="E390" s="73"/>
      <c r="F390" s="73"/>
      <c r="G390" s="73"/>
      <c r="H390" s="73"/>
      <c r="I390" s="73"/>
    </row>
    <row r="391" spans="4:9" x14ac:dyDescent="0.2">
      <c r="D391" s="108"/>
      <c r="E391" s="73"/>
      <c r="F391" s="73"/>
      <c r="G391" s="73"/>
      <c r="H391" s="73"/>
      <c r="I391" s="73"/>
    </row>
    <row r="392" spans="4:9" x14ac:dyDescent="0.2">
      <c r="D392" s="108"/>
      <c r="E392" s="73"/>
      <c r="F392" s="73"/>
      <c r="G392" s="73"/>
      <c r="H392" s="73"/>
      <c r="I392" s="73"/>
    </row>
    <row r="393" spans="4:9" x14ac:dyDescent="0.2">
      <c r="D393" s="108"/>
      <c r="E393" s="73"/>
      <c r="F393" s="73"/>
      <c r="G393" s="73"/>
      <c r="H393" s="73"/>
      <c r="I393" s="73"/>
    </row>
    <row r="394" spans="4:9" x14ac:dyDescent="0.2">
      <c r="D394" s="108"/>
      <c r="E394" s="73"/>
      <c r="F394" s="73"/>
      <c r="G394" s="73"/>
      <c r="H394" s="73"/>
      <c r="I394" s="73"/>
    </row>
    <row r="395" spans="4:9" x14ac:dyDescent="0.2">
      <c r="D395" s="108"/>
      <c r="E395" s="73"/>
      <c r="F395" s="73"/>
      <c r="G395" s="73"/>
      <c r="H395" s="73"/>
      <c r="I395" s="73"/>
    </row>
    <row r="396" spans="4:9" x14ac:dyDescent="0.2">
      <c r="D396" s="108"/>
      <c r="E396" s="73"/>
      <c r="F396" s="73"/>
      <c r="G396" s="73"/>
      <c r="H396" s="73"/>
      <c r="I396" s="73"/>
    </row>
    <row r="397" spans="4:9" x14ac:dyDescent="0.2">
      <c r="D397" s="108"/>
      <c r="E397" s="73"/>
      <c r="F397" s="73"/>
      <c r="G397" s="73"/>
      <c r="H397" s="73"/>
      <c r="I397" s="73"/>
    </row>
    <row r="398" spans="4:9" x14ac:dyDescent="0.2">
      <c r="D398" s="108"/>
      <c r="E398" s="73"/>
      <c r="F398" s="73"/>
      <c r="G398" s="73"/>
      <c r="H398" s="73"/>
      <c r="I398" s="73"/>
    </row>
    <row r="399" spans="4:9" x14ac:dyDescent="0.2">
      <c r="D399" s="108"/>
      <c r="E399" s="73"/>
      <c r="F399" s="73"/>
      <c r="G399" s="73"/>
      <c r="H399" s="73"/>
      <c r="I399" s="73"/>
    </row>
    <row r="400" spans="4:9" x14ac:dyDescent="0.2">
      <c r="D400" s="108"/>
      <c r="E400" s="73"/>
      <c r="F400" s="73"/>
      <c r="G400" s="73"/>
      <c r="H400" s="73"/>
      <c r="I400" s="73"/>
    </row>
    <row r="401" spans="4:9" x14ac:dyDescent="0.2">
      <c r="D401" s="108"/>
      <c r="E401" s="73"/>
      <c r="F401" s="73"/>
      <c r="G401" s="73"/>
      <c r="H401" s="73"/>
      <c r="I401" s="73"/>
    </row>
    <row r="402" spans="4:9" x14ac:dyDescent="0.2">
      <c r="D402" s="108"/>
      <c r="E402" s="73"/>
      <c r="F402" s="73"/>
      <c r="G402" s="73"/>
      <c r="H402" s="73"/>
      <c r="I402" s="73"/>
    </row>
    <row r="403" spans="4:9" x14ac:dyDescent="0.2">
      <c r="D403" s="108"/>
      <c r="E403" s="73"/>
      <c r="F403" s="73"/>
      <c r="G403" s="73"/>
      <c r="H403" s="73"/>
      <c r="I403" s="73"/>
    </row>
    <row r="404" spans="4:9" x14ac:dyDescent="0.2">
      <c r="D404" s="108"/>
      <c r="E404" s="73"/>
      <c r="F404" s="73"/>
      <c r="G404" s="73"/>
      <c r="H404" s="73"/>
      <c r="I404" s="73"/>
    </row>
    <row r="405" spans="4:9" x14ac:dyDescent="0.2">
      <c r="D405" s="108"/>
      <c r="E405" s="73"/>
      <c r="F405" s="73"/>
      <c r="G405" s="73"/>
      <c r="H405" s="73"/>
      <c r="I405" s="73"/>
    </row>
    <row r="406" spans="4:9" x14ac:dyDescent="0.2">
      <c r="D406" s="108"/>
      <c r="E406" s="73"/>
      <c r="F406" s="73"/>
      <c r="G406" s="73"/>
      <c r="H406" s="73"/>
      <c r="I406" s="73"/>
    </row>
    <row r="407" spans="4:9" x14ac:dyDescent="0.2">
      <c r="D407" s="108"/>
      <c r="E407" s="73"/>
      <c r="F407" s="73"/>
      <c r="G407" s="73"/>
      <c r="H407" s="73"/>
      <c r="I407" s="73"/>
    </row>
    <row r="408" spans="4:9" x14ac:dyDescent="0.2">
      <c r="D408" s="108"/>
      <c r="E408" s="73"/>
      <c r="F408" s="73"/>
      <c r="G408" s="73"/>
      <c r="H408" s="73"/>
      <c r="I408" s="73"/>
    </row>
    <row r="409" spans="4:9" x14ac:dyDescent="0.2">
      <c r="D409" s="108"/>
      <c r="E409" s="73"/>
      <c r="F409" s="73"/>
      <c r="G409" s="73"/>
      <c r="H409" s="73"/>
      <c r="I409" s="73"/>
    </row>
    <row r="410" spans="4:9" x14ac:dyDescent="0.2">
      <c r="D410" s="108"/>
      <c r="E410" s="73"/>
      <c r="F410" s="73"/>
      <c r="G410" s="73"/>
      <c r="H410" s="73"/>
      <c r="I410" s="73"/>
    </row>
    <row r="411" spans="4:9" x14ac:dyDescent="0.2">
      <c r="D411" s="108"/>
      <c r="E411" s="73"/>
      <c r="F411" s="73"/>
      <c r="G411" s="73"/>
      <c r="H411" s="73"/>
      <c r="I411" s="73"/>
    </row>
    <row r="412" spans="4:9" x14ac:dyDescent="0.2">
      <c r="D412" s="108"/>
      <c r="E412" s="73"/>
      <c r="F412" s="73"/>
      <c r="G412" s="73"/>
      <c r="H412" s="73"/>
      <c r="I412" s="73"/>
    </row>
    <row r="413" spans="4:9" x14ac:dyDescent="0.2">
      <c r="D413" s="108"/>
      <c r="E413" s="73"/>
      <c r="F413" s="73"/>
      <c r="G413" s="73"/>
      <c r="H413" s="73"/>
      <c r="I413" s="73"/>
    </row>
    <row r="414" spans="4:9" x14ac:dyDescent="0.2">
      <c r="D414" s="108"/>
      <c r="E414" s="73"/>
      <c r="F414" s="73"/>
      <c r="G414" s="73"/>
      <c r="H414" s="73"/>
      <c r="I414" s="73"/>
    </row>
    <row r="415" spans="4:9" x14ac:dyDescent="0.2">
      <c r="D415" s="108"/>
      <c r="E415" s="73"/>
      <c r="F415" s="73"/>
      <c r="G415" s="73"/>
      <c r="H415" s="73"/>
      <c r="I415" s="73"/>
    </row>
    <row r="416" spans="4:9" x14ac:dyDescent="0.2">
      <c r="D416" s="108"/>
      <c r="E416" s="73"/>
      <c r="F416" s="73"/>
      <c r="G416" s="73"/>
      <c r="H416" s="73"/>
      <c r="I416" s="73"/>
    </row>
    <row r="417" spans="4:9" x14ac:dyDescent="0.2">
      <c r="D417" s="108"/>
      <c r="E417" s="73"/>
      <c r="F417" s="73"/>
      <c r="G417" s="73"/>
      <c r="H417" s="73"/>
      <c r="I417" s="73"/>
    </row>
    <row r="418" spans="4:9" x14ac:dyDescent="0.2">
      <c r="D418" s="108"/>
      <c r="E418" s="73"/>
      <c r="F418" s="73"/>
      <c r="G418" s="73"/>
      <c r="H418" s="73"/>
      <c r="I418" s="73"/>
    </row>
    <row r="419" spans="4:9" x14ac:dyDescent="0.2">
      <c r="D419" s="108"/>
      <c r="E419" s="73"/>
      <c r="F419" s="73"/>
      <c r="G419" s="73"/>
      <c r="H419" s="73"/>
      <c r="I419" s="73"/>
    </row>
    <row r="420" spans="4:9" x14ac:dyDescent="0.2">
      <c r="D420" s="108"/>
      <c r="E420" s="73"/>
      <c r="F420" s="73"/>
      <c r="G420" s="73"/>
      <c r="H420" s="73"/>
      <c r="I420" s="73"/>
    </row>
    <row r="421" spans="4:9" x14ac:dyDescent="0.2">
      <c r="D421" s="108"/>
      <c r="E421" s="73"/>
      <c r="F421" s="73"/>
      <c r="G421" s="73"/>
      <c r="H421" s="73"/>
      <c r="I421" s="73"/>
    </row>
    <row r="422" spans="4:9" x14ac:dyDescent="0.2">
      <c r="D422" s="108"/>
      <c r="E422" s="73"/>
      <c r="F422" s="73"/>
      <c r="G422" s="73"/>
      <c r="H422" s="73"/>
      <c r="I422" s="73"/>
    </row>
    <row r="423" spans="4:9" x14ac:dyDescent="0.2">
      <c r="D423" s="108"/>
      <c r="E423" s="73"/>
      <c r="F423" s="73"/>
      <c r="G423" s="73"/>
      <c r="H423" s="73"/>
      <c r="I423" s="73"/>
    </row>
    <row r="424" spans="4:9" x14ac:dyDescent="0.2">
      <c r="D424" s="108"/>
      <c r="E424" s="73"/>
      <c r="F424" s="73"/>
      <c r="G424" s="73"/>
      <c r="H424" s="73"/>
      <c r="I424" s="73"/>
    </row>
    <row r="425" spans="4:9" x14ac:dyDescent="0.2">
      <c r="D425" s="108"/>
      <c r="E425" s="73"/>
      <c r="F425" s="73"/>
      <c r="G425" s="73"/>
      <c r="H425" s="73"/>
      <c r="I425" s="73"/>
    </row>
    <row r="426" spans="4:9" x14ac:dyDescent="0.2">
      <c r="D426" s="108"/>
      <c r="E426" s="73"/>
      <c r="F426" s="73"/>
      <c r="G426" s="73"/>
      <c r="H426" s="73"/>
      <c r="I426" s="73"/>
    </row>
    <row r="427" spans="4:9" x14ac:dyDescent="0.2">
      <c r="D427" s="108"/>
      <c r="E427" s="73"/>
      <c r="F427" s="73"/>
      <c r="G427" s="73"/>
      <c r="H427" s="73"/>
      <c r="I427" s="73"/>
    </row>
    <row r="428" spans="4:9" x14ac:dyDescent="0.2">
      <c r="D428" s="108"/>
      <c r="E428" s="73"/>
      <c r="F428" s="73"/>
      <c r="G428" s="73"/>
      <c r="H428" s="73"/>
      <c r="I428" s="73"/>
    </row>
    <row r="429" spans="4:9" x14ac:dyDescent="0.2">
      <c r="D429" s="108"/>
      <c r="E429" s="73"/>
      <c r="F429" s="73"/>
      <c r="G429" s="73"/>
      <c r="H429" s="73"/>
      <c r="I429" s="73"/>
    </row>
  </sheetData>
  <mergeCells count="9">
    <mergeCell ref="J11:J12"/>
    <mergeCell ref="K13:K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topLeftCell="A49" zoomScale="60" zoomScaleNormal="60" workbookViewId="0">
      <selection activeCell="G41" sqref="G41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3.85546875" style="75" bestFit="1" customWidth="1"/>
    <col min="6" max="6" width="13" style="83" customWidth="1"/>
    <col min="7" max="7" width="20.5703125" style="97" bestFit="1" customWidth="1"/>
    <col min="8" max="8" width="18" style="91" customWidth="1"/>
    <col min="9" max="9" width="64.14062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ALIMENTARIAS!J4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9" t="s">
        <v>22</v>
      </c>
      <c r="N5" s="7"/>
      <c r="O5" s="7"/>
    </row>
    <row r="6" spans="1:15" ht="20.25" customHeight="1" x14ac:dyDescent="0.2">
      <c r="A6" s="11"/>
      <c r="B6" s="11"/>
      <c r="C6" s="494" t="s">
        <v>256</v>
      </c>
      <c r="D6" s="494"/>
      <c r="E6" s="494"/>
      <c r="F6" s="494"/>
      <c r="G6" s="494"/>
      <c r="H6" s="494"/>
      <c r="I6" s="423" t="str">
        <f>ALIMENTARIAS!J6</f>
        <v>SUBDIRECCIÓN ACADÉMICA</v>
      </c>
      <c r="N6" s="7"/>
      <c r="O6" s="7"/>
    </row>
    <row r="7" spans="1:15" ht="12.75" customHeight="1" x14ac:dyDescent="0.2">
      <c r="A7" s="11"/>
      <c r="B7" s="11"/>
      <c r="C7" s="494"/>
      <c r="D7" s="494"/>
      <c r="E7" s="494"/>
      <c r="F7" s="494"/>
      <c r="G7" s="494"/>
      <c r="H7" s="494"/>
      <c r="I7" s="9" t="str">
        <f>ALIMENTARIAS!J7</f>
        <v>PROCESO</v>
      </c>
      <c r="N7" s="7"/>
      <c r="O7" s="7"/>
    </row>
    <row r="8" spans="1:15" ht="17.25" customHeight="1" x14ac:dyDescent="0.2">
      <c r="A8" s="11"/>
      <c r="B8" s="11"/>
      <c r="C8" s="494"/>
      <c r="D8" s="494"/>
      <c r="E8" s="494"/>
      <c r="F8" s="494"/>
      <c r="G8" s="494"/>
      <c r="H8" s="494"/>
      <c r="I8" s="423" t="s">
        <v>271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9" t="str">
        <f>ALIMENTARIAS!J9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262702.76</v>
      </c>
      <c r="E13" s="76">
        <v>131351.38</v>
      </c>
      <c r="F13" s="76">
        <v>131351.38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0</v>
      </c>
      <c r="E15" s="76"/>
      <c r="F15" s="84"/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17513.52</v>
      </c>
      <c r="E16" s="76">
        <v>8756.76</v>
      </c>
      <c r="F16" s="84">
        <v>8756.76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36486.5</v>
      </c>
      <c r="E17" s="76">
        <f>14594.6+7297.3</f>
        <v>21891.9</v>
      </c>
      <c r="F17" s="84">
        <v>14594.6</v>
      </c>
      <c r="G17" s="98"/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7881.08</v>
      </c>
      <c r="E20" s="76">
        <v>3940.54</v>
      </c>
      <c r="F20" s="84">
        <v>3940.54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27583.8</v>
      </c>
      <c r="E21" s="76">
        <v>13791.9</v>
      </c>
      <c r="F21" s="84">
        <v>13791.9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5254.06</v>
      </c>
      <c r="E22" s="76">
        <v>2627.03</v>
      </c>
      <c r="F22" s="84">
        <v>2627.03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10945.95</v>
      </c>
      <c r="E25" s="76">
        <v>10945.95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0</v>
      </c>
      <c r="E26" s="76"/>
      <c r="F26" s="84"/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7452</v>
      </c>
      <c r="E27" s="76">
        <v>3726</v>
      </c>
      <c r="F27" s="84">
        <v>3726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375819.67000000004</v>
      </c>
      <c r="E28" s="65">
        <f t="shared" si="1"/>
        <v>197031.46000000002</v>
      </c>
      <c r="F28" s="65">
        <f t="shared" si="1"/>
        <v>178788.21000000002</v>
      </c>
      <c r="G28" s="65">
        <f t="shared" si="1"/>
        <v>0</v>
      </c>
      <c r="H28" s="65">
        <f t="shared" si="1"/>
        <v>0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3000</v>
      </c>
      <c r="E29" s="76">
        <f>3000</f>
        <v>3000</v>
      </c>
      <c r="F29" s="85"/>
      <c r="G29" s="99"/>
      <c r="H29" s="93"/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0</v>
      </c>
      <c r="E31" s="77"/>
      <c r="F31" s="86"/>
      <c r="G31" s="100"/>
      <c r="H31" s="94"/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/>
      <c r="F32" s="85"/>
      <c r="G32" s="100"/>
      <c r="H32" s="103"/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/>
      <c r="F34" s="85"/>
      <c r="G34" s="99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0</v>
      </c>
      <c r="E35" s="77"/>
      <c r="F35" s="86"/>
      <c r="G35" s="100"/>
      <c r="H35" s="94"/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/>
      <c r="F37" s="85"/>
      <c r="G37" s="99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5000</v>
      </c>
      <c r="E44" s="77"/>
      <c r="F44" s="85"/>
      <c r="G44" s="99"/>
      <c r="H44" s="93">
        <v>5000</v>
      </c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20000</v>
      </c>
      <c r="E47" s="77">
        <v>10000</v>
      </c>
      <c r="F47" s="86">
        <v>10000</v>
      </c>
      <c r="G47" s="100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10000</v>
      </c>
      <c r="E48" s="77">
        <v>5000</v>
      </c>
      <c r="F48" s="86">
        <v>5000</v>
      </c>
      <c r="G48" s="100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7"/>
      <c r="F49" s="85"/>
      <c r="G49" s="99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27000</v>
      </c>
      <c r="E51" s="77">
        <v>3000</v>
      </c>
      <c r="F51" s="86">
        <v>18000</v>
      </c>
      <c r="G51" s="99"/>
      <c r="H51" s="93">
        <v>6000</v>
      </c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36000</v>
      </c>
      <c r="E52" s="77">
        <v>8000</v>
      </c>
      <c r="F52" s="85">
        <v>8000</v>
      </c>
      <c r="G52" s="99"/>
      <c r="H52" s="93">
        <v>20000</v>
      </c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20000</v>
      </c>
      <c r="E53" s="77">
        <v>10000</v>
      </c>
      <c r="F53" s="85">
        <v>10000</v>
      </c>
      <c r="G53" s="99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2000</v>
      </c>
      <c r="E57" s="77">
        <v>1000</v>
      </c>
      <c r="F57" s="85">
        <v>1000</v>
      </c>
      <c r="G57" s="99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/>
      <c r="F58" s="85"/>
      <c r="G58" s="99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7000</v>
      </c>
      <c r="E59" s="77">
        <v>3500</v>
      </c>
      <c r="F59" s="85">
        <v>3500</v>
      </c>
      <c r="G59" s="99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30"/>
    </row>
    <row r="63" spans="1:9" s="21" customFormat="1" ht="36" x14ac:dyDescent="0.2">
      <c r="A63" s="54">
        <v>2951</v>
      </c>
      <c r="B63" s="64"/>
      <c r="C63" s="51" t="s">
        <v>75</v>
      </c>
      <c r="D63" s="61">
        <f t="shared" si="2"/>
        <v>12000</v>
      </c>
      <c r="E63" s="77">
        <v>6000</v>
      </c>
      <c r="F63" s="86">
        <v>6000</v>
      </c>
      <c r="G63" s="99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3000</v>
      </c>
      <c r="E65" s="77">
        <v>1500</v>
      </c>
      <c r="F65" s="85">
        <v>1500</v>
      </c>
      <c r="G65" s="99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145000</v>
      </c>
      <c r="E67" s="66">
        <f t="shared" ref="E67:H67" si="3">SUM(E29:E66)</f>
        <v>51000</v>
      </c>
      <c r="F67" s="66">
        <f t="shared" si="3"/>
        <v>63000</v>
      </c>
      <c r="G67" s="66">
        <f t="shared" si="3"/>
        <v>0</v>
      </c>
      <c r="H67" s="66">
        <f t="shared" si="3"/>
        <v>31000</v>
      </c>
      <c r="I67" s="25"/>
      <c r="J67" s="26"/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2000</v>
      </c>
      <c r="E69" s="77">
        <v>1000</v>
      </c>
      <c r="F69" s="86">
        <v>1000</v>
      </c>
      <c r="G69" s="99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/>
      <c r="G72" s="100"/>
      <c r="H72" s="94"/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0</v>
      </c>
      <c r="E73" s="77"/>
      <c r="F73" s="86"/>
      <c r="G73" s="100"/>
      <c r="H73" s="94"/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/>
      <c r="F74" s="86"/>
      <c r="G74" s="100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/>
      <c r="F75" s="85"/>
      <c r="G75" s="99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15000</v>
      </c>
      <c r="E80" s="77"/>
      <c r="F80" s="85">
        <v>15000</v>
      </c>
      <c r="G80" s="99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0</v>
      </c>
      <c r="E82" s="77"/>
      <c r="F82" s="88"/>
      <c r="G82" s="99"/>
      <c r="H82" s="93"/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>
        <f t="shared" si="4"/>
        <v>0</v>
      </c>
      <c r="E84" s="77"/>
      <c r="F84" s="86"/>
      <c r="G84" s="100"/>
      <c r="H84" s="94"/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7"/>
      <c r="F94" s="85"/>
      <c r="G94" s="99"/>
      <c r="H94" s="93"/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0</v>
      </c>
      <c r="E96" s="77"/>
      <c r="F96" s="86"/>
      <c r="G96" s="100"/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0</v>
      </c>
      <c r="E97" s="77"/>
      <c r="F97" s="85"/>
      <c r="G97" s="99"/>
      <c r="H97" s="94"/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1000</v>
      </c>
      <c r="E98" s="77"/>
      <c r="F98" s="86"/>
      <c r="G98" s="100">
        <v>1000</v>
      </c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10000</v>
      </c>
      <c r="E99" s="77"/>
      <c r="F99" s="86"/>
      <c r="G99" s="100">
        <v>10000</v>
      </c>
      <c r="H99" s="94"/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/>
      <c r="F100" s="86"/>
      <c r="G100" s="100"/>
      <c r="H100" s="94"/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77"/>
      <c r="F101" s="86"/>
      <c r="G101" s="100"/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77"/>
      <c r="F102" s="86"/>
      <c r="G102" s="100"/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2000</v>
      </c>
      <c r="E103" s="77"/>
      <c r="F103" s="86"/>
      <c r="G103" s="100"/>
      <c r="H103" s="94">
        <v>2000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80"/>
      <c r="F104" s="89"/>
      <c r="G104" s="106"/>
      <c r="H104" s="95"/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30000</v>
      </c>
      <c r="E105" s="65">
        <f t="shared" si="5"/>
        <v>1000</v>
      </c>
      <c r="F105" s="65">
        <f t="shared" si="5"/>
        <v>16000</v>
      </c>
      <c r="G105" s="65">
        <f t="shared" si="5"/>
        <v>11000</v>
      </c>
      <c r="H105" s="65">
        <f t="shared" si="5"/>
        <v>2000</v>
      </c>
      <c r="I105" s="30"/>
      <c r="J105" s="26"/>
    </row>
    <row r="106" spans="1:10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6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36">
        <f t="shared" ref="D108:D111" si="7">SUM(E108:H108)</f>
        <v>0</v>
      </c>
      <c r="E108" s="81"/>
      <c r="F108" s="90"/>
      <c r="G108" s="101"/>
      <c r="H108" s="129"/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36">
        <f t="shared" si="7"/>
        <v>0</v>
      </c>
      <c r="E109" s="81"/>
      <c r="F109" s="90"/>
      <c r="G109" s="101"/>
      <c r="H109" s="129"/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36">
        <f t="shared" si="7"/>
        <v>200000</v>
      </c>
      <c r="E110" s="81"/>
      <c r="F110" s="90"/>
      <c r="G110" s="101"/>
      <c r="H110" s="129">
        <v>200000</v>
      </c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36">
        <f t="shared" si="7"/>
        <v>0</v>
      </c>
      <c r="E111" s="81"/>
      <c r="F111" s="90"/>
      <c r="G111" s="101"/>
      <c r="H111" s="129"/>
      <c r="I111" s="72"/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200000</v>
      </c>
      <c r="E112" s="23">
        <f t="shared" ref="E112:G112" si="8">SUM(E108:E108)</f>
        <v>0</v>
      </c>
      <c r="F112" s="23">
        <f t="shared" si="8"/>
        <v>0</v>
      </c>
      <c r="G112" s="23">
        <f t="shared" si="8"/>
        <v>0</v>
      </c>
      <c r="H112" s="23">
        <f>SUM(H108:H111)</f>
        <v>200000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129"/>
      <c r="I113" s="38"/>
    </row>
    <row r="114" spans="1:10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38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9">SUM(E115:E116)</f>
        <v>0</v>
      </c>
      <c r="F117" s="23">
        <f t="shared" si="9"/>
        <v>0</v>
      </c>
      <c r="G117" s="23">
        <f t="shared" si="9"/>
        <v>0</v>
      </c>
      <c r="H117" s="23">
        <f t="shared" si="9"/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10">SUM(D118:D119)</f>
        <v>0</v>
      </c>
      <c r="E120" s="23">
        <f t="shared" si="10"/>
        <v>0</v>
      </c>
      <c r="F120" s="23">
        <f t="shared" si="10"/>
        <v>0</v>
      </c>
      <c r="G120" s="23">
        <f t="shared" si="10"/>
        <v>0</v>
      </c>
      <c r="H120" s="23">
        <f t="shared" si="10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1">SUM(D120,D117,D112,D107,D105,D67,D28)</f>
        <v>750819.67</v>
      </c>
      <c r="E121" s="190">
        <f t="shared" si="11"/>
        <v>249031.46000000002</v>
      </c>
      <c r="F121" s="190">
        <f t="shared" si="11"/>
        <v>257788.21000000002</v>
      </c>
      <c r="G121" s="190">
        <f t="shared" si="11"/>
        <v>11000</v>
      </c>
      <c r="H121" s="190">
        <f t="shared" si="11"/>
        <v>233000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topLeftCell="A58" zoomScale="60" zoomScaleNormal="60" workbookViewId="0">
      <selection activeCell="F98" sqref="F98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3.85546875" style="75" bestFit="1" customWidth="1"/>
    <col min="6" max="6" width="13" style="83" customWidth="1"/>
    <col min="7" max="7" width="20.5703125" style="97" bestFit="1" customWidth="1"/>
    <col min="8" max="8" width="16.5703125" style="91" customWidth="1"/>
    <col min="9" max="9" width="47.570312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'INOVACION AGRICOLA'!I4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357" t="str">
        <f>'INOVACION AGRICOLA'!I5</f>
        <v>DEPENDENCIA / ORGANISMO</v>
      </c>
      <c r="N5" s="7"/>
      <c r="O5" s="7"/>
    </row>
    <row r="6" spans="1:15" ht="20.25" customHeight="1" x14ac:dyDescent="0.2">
      <c r="A6" s="11"/>
      <c r="B6" s="11"/>
      <c r="C6" s="494" t="s">
        <v>255</v>
      </c>
      <c r="D6" s="494"/>
      <c r="E6" s="494"/>
      <c r="F6" s="494"/>
      <c r="G6" s="494"/>
      <c r="H6" s="494"/>
      <c r="I6" s="423" t="str">
        <f>'INOVACION AGRICOLA'!I6</f>
        <v>SUBDIRECCIÓN ACADÉMICA</v>
      </c>
      <c r="N6" s="7"/>
      <c r="O6" s="7"/>
    </row>
    <row r="7" spans="1:15" ht="12.75" customHeight="1" x14ac:dyDescent="0.2">
      <c r="A7" s="11"/>
      <c r="B7" s="11"/>
      <c r="C7" s="494"/>
      <c r="D7" s="494"/>
      <c r="E7" s="494"/>
      <c r="F7" s="494"/>
      <c r="G7" s="494"/>
      <c r="H7" s="494"/>
      <c r="I7" s="357" t="str">
        <f>'INOVACION AGRICOLA'!I7</f>
        <v>PROCESO</v>
      </c>
      <c r="N7" s="7"/>
      <c r="O7" s="7"/>
    </row>
    <row r="8" spans="1:15" ht="17.25" customHeight="1" x14ac:dyDescent="0.2">
      <c r="A8" s="11"/>
      <c r="B8" s="11"/>
      <c r="C8" s="494"/>
      <c r="D8" s="494"/>
      <c r="E8" s="494"/>
      <c r="F8" s="494"/>
      <c r="G8" s="494"/>
      <c r="H8" s="494"/>
      <c r="I8" s="423" t="s">
        <v>138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'INOVACION AGRICOLA'!I9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372126.78</v>
      </c>
      <c r="E13" s="76">
        <v>186063.39</v>
      </c>
      <c r="F13" s="76">
        <v>186063.39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1959.74</v>
      </c>
      <c r="E15" s="76">
        <v>979.87</v>
      </c>
      <c r="F15" s="84">
        <v>979.87</v>
      </c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24808.46</v>
      </c>
      <c r="E16" s="76">
        <v>12404.23</v>
      </c>
      <c r="F16" s="84">
        <v>12404.23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51684.27</v>
      </c>
      <c r="E17" s="76">
        <f>20673.71+10336.85</f>
        <v>31010.559999999998</v>
      </c>
      <c r="F17" s="84">
        <v>20673.71</v>
      </c>
      <c r="G17" s="98"/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11163.8</v>
      </c>
      <c r="E20" s="76">
        <v>5581.9</v>
      </c>
      <c r="F20" s="84">
        <v>5581.9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39073.32</v>
      </c>
      <c r="E21" s="76">
        <v>19536.66</v>
      </c>
      <c r="F21" s="84">
        <v>19536.66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7442.54</v>
      </c>
      <c r="E22" s="76">
        <v>3721.27</v>
      </c>
      <c r="F22" s="84">
        <v>3721.27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15505.28</v>
      </c>
      <c r="E25" s="76">
        <v>15505.28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7056</v>
      </c>
      <c r="E26" s="76">
        <v>3528</v>
      </c>
      <c r="F26" s="84">
        <v>3528</v>
      </c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29808</v>
      </c>
      <c r="E27" s="76">
        <v>14904</v>
      </c>
      <c r="F27" s="84">
        <v>14904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560628.19000000006</v>
      </c>
      <c r="E28" s="65">
        <f t="shared" si="1"/>
        <v>293235.16000000003</v>
      </c>
      <c r="F28" s="65">
        <f t="shared" si="1"/>
        <v>267393.03000000003</v>
      </c>
      <c r="G28" s="65">
        <f t="shared" si="1"/>
        <v>0</v>
      </c>
      <c r="H28" s="65">
        <f t="shared" si="1"/>
        <v>0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24000</v>
      </c>
      <c r="E29" s="76">
        <v>24000</v>
      </c>
      <c r="F29" s="85"/>
      <c r="G29" s="99"/>
      <c r="H29" s="93"/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5000</v>
      </c>
      <c r="E31" s="77"/>
      <c r="F31" s="86"/>
      <c r="G31" s="100"/>
      <c r="H31" s="94">
        <v>5000</v>
      </c>
      <c r="I31" s="30" t="s">
        <v>207</v>
      </c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409011.25999999995</v>
      </c>
      <c r="E32" s="77"/>
      <c r="F32" s="85"/>
      <c r="G32" s="100"/>
      <c r="H32" s="93">
        <f>292926.1-60000+145000+31085.16</f>
        <v>409011.25999999995</v>
      </c>
      <c r="I32" s="208">
        <f>H32-500000</f>
        <v>-90988.740000000049</v>
      </c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/>
      <c r="F34" s="85"/>
      <c r="G34" s="99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0</v>
      </c>
      <c r="E35" s="77"/>
      <c r="F35" s="86"/>
      <c r="G35" s="100"/>
      <c r="H35" s="94"/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/>
      <c r="F37" s="85"/>
      <c r="G37" s="99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77"/>
      <c r="F44" s="85"/>
      <c r="G44" s="99"/>
      <c r="H44" s="93"/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/>
      <c r="F47" s="85"/>
      <c r="G47" s="100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77"/>
      <c r="F48" s="86"/>
      <c r="G48" s="100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7"/>
      <c r="F49" s="85"/>
      <c r="G49" s="99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9"/>
      <c r="H51" s="93"/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5"/>
      <c r="G52" s="99"/>
      <c r="H52" s="93"/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/>
      <c r="F53" s="85"/>
      <c r="G53" s="99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/>
      <c r="F57" s="85"/>
      <c r="G57" s="99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/>
      <c r="F58" s="85"/>
      <c r="G58" s="99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77"/>
      <c r="F59" s="85"/>
      <c r="G59" s="99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30"/>
    </row>
    <row r="63" spans="1:9" s="21" customFormat="1" ht="36" x14ac:dyDescent="0.2">
      <c r="A63" s="54">
        <v>2951</v>
      </c>
      <c r="B63" s="64"/>
      <c r="C63" s="51" t="s">
        <v>75</v>
      </c>
      <c r="D63" s="61">
        <f t="shared" si="2"/>
        <v>0</v>
      </c>
      <c r="E63" s="77"/>
      <c r="F63" s="86"/>
      <c r="G63" s="99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77"/>
      <c r="F65" s="85"/>
      <c r="G65" s="99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438011.25999999995</v>
      </c>
      <c r="E67" s="66">
        <f t="shared" ref="E67:H67" si="3">SUM(E29:E66)</f>
        <v>24000</v>
      </c>
      <c r="F67" s="66">
        <f t="shared" si="3"/>
        <v>0</v>
      </c>
      <c r="G67" s="66">
        <f t="shared" si="3"/>
        <v>0</v>
      </c>
      <c r="H67" s="66">
        <f t="shared" si="3"/>
        <v>414011.25999999995</v>
      </c>
      <c r="I67" s="25"/>
      <c r="J67" s="26"/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/>
      <c r="F69" s="86"/>
      <c r="G69" s="99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/>
      <c r="G72" s="100"/>
      <c r="H72" s="94"/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5000</v>
      </c>
      <c r="E73" s="77"/>
      <c r="F73" s="86">
        <v>1000</v>
      </c>
      <c r="G73" s="100"/>
      <c r="H73" s="94">
        <v>4000</v>
      </c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/>
      <c r="F74" s="86"/>
      <c r="G74" s="100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/>
      <c r="F75" s="85"/>
      <c r="G75" s="99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0</v>
      </c>
      <c r="E80" s="77"/>
      <c r="F80" s="85"/>
      <c r="G80" s="99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20000</v>
      </c>
      <c r="E82" s="77"/>
      <c r="F82" s="133">
        <v>20000</v>
      </c>
      <c r="G82" s="99"/>
      <c r="H82" s="93"/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>
        <f t="shared" si="4"/>
        <v>0</v>
      </c>
      <c r="E84" s="77"/>
      <c r="F84" s="86"/>
      <c r="G84" s="100"/>
      <c r="H84" s="94"/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7"/>
      <c r="F94" s="85"/>
      <c r="G94" s="99"/>
      <c r="H94" s="93"/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0</v>
      </c>
      <c r="E96" s="77"/>
      <c r="F96" s="86"/>
      <c r="G96" s="100"/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0</v>
      </c>
      <c r="E97" s="77"/>
      <c r="F97" s="85"/>
      <c r="G97" s="99"/>
      <c r="H97" s="94"/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1000</v>
      </c>
      <c r="E98" s="77"/>
      <c r="F98" s="86"/>
      <c r="G98" s="100">
        <v>1000</v>
      </c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18000</v>
      </c>
      <c r="E99" s="77"/>
      <c r="F99" s="86"/>
      <c r="G99" s="100">
        <v>18000</v>
      </c>
      <c r="H99" s="94"/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/>
      <c r="F100" s="86"/>
      <c r="G100" s="100"/>
      <c r="H100" s="94"/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77"/>
      <c r="F101" s="86"/>
      <c r="G101" s="100"/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77"/>
      <c r="F102" s="86"/>
      <c r="G102" s="100"/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2000</v>
      </c>
      <c r="E103" s="77"/>
      <c r="F103" s="86"/>
      <c r="G103" s="100"/>
      <c r="H103" s="94">
        <v>2000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29518</v>
      </c>
      <c r="E104" s="80"/>
      <c r="F104" s="89"/>
      <c r="G104" s="134">
        <v>4500</v>
      </c>
      <c r="H104" s="95">
        <v>25018</v>
      </c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75518</v>
      </c>
      <c r="E105" s="65">
        <f t="shared" si="5"/>
        <v>0</v>
      </c>
      <c r="F105" s="65">
        <f t="shared" si="5"/>
        <v>21000</v>
      </c>
      <c r="G105" s="65">
        <f t="shared" si="5"/>
        <v>23500</v>
      </c>
      <c r="H105" s="65">
        <f t="shared" si="5"/>
        <v>31018</v>
      </c>
      <c r="I105" s="30"/>
      <c r="J105" s="26"/>
    </row>
    <row r="106" spans="1:10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6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>
        <f>SUM(E108:H108)</f>
        <v>45000</v>
      </c>
      <c r="E108" s="82"/>
      <c r="F108" s="90"/>
      <c r="G108" s="101"/>
      <c r="H108" s="96">
        <v>45000</v>
      </c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 t="shared" ref="D109:D111" si="7">SUM(E109:H109)</f>
        <v>0</v>
      </c>
      <c r="E109" s="82"/>
      <c r="F109" s="90"/>
      <c r="G109" s="101"/>
      <c r="H109" s="96"/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>
        <f t="shared" si="7"/>
        <v>0</v>
      </c>
      <c r="E110" s="82"/>
      <c r="F110" s="90"/>
      <c r="G110" s="101"/>
      <c r="H110" s="96"/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>
        <f t="shared" si="7"/>
        <v>40000</v>
      </c>
      <c r="E111" s="82"/>
      <c r="F111" s="90"/>
      <c r="G111" s="101"/>
      <c r="H111" s="428">
        <v>40000</v>
      </c>
      <c r="I111" s="72"/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85000</v>
      </c>
      <c r="E112" s="23">
        <f t="shared" ref="E112:H112" si="8">SUM(E108:E111)</f>
        <v>0</v>
      </c>
      <c r="F112" s="23">
        <f t="shared" si="8"/>
        <v>0</v>
      </c>
      <c r="G112" s="23">
        <f t="shared" si="8"/>
        <v>0</v>
      </c>
      <c r="H112" s="23">
        <f t="shared" si="8"/>
        <v>85000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6"/>
      <c r="I113" s="38"/>
    </row>
    <row r="114" spans="1:10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38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9">SUM(E115:E116)</f>
        <v>0</v>
      </c>
      <c r="F117" s="23">
        <f t="shared" si="9"/>
        <v>0</v>
      </c>
      <c r="G117" s="23">
        <f t="shared" si="9"/>
        <v>0</v>
      </c>
      <c r="H117" s="23">
        <f t="shared" si="9"/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10">SUM(D118:D119)</f>
        <v>0</v>
      </c>
      <c r="E120" s="23">
        <f t="shared" si="10"/>
        <v>0</v>
      </c>
      <c r="F120" s="23">
        <f t="shared" si="10"/>
        <v>0</v>
      </c>
      <c r="G120" s="23">
        <f t="shared" si="10"/>
        <v>0</v>
      </c>
      <c r="H120" s="23">
        <f t="shared" si="10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1">SUM(D120,D117,D112,D107,D105,D67,D28)</f>
        <v>1159157.4500000002</v>
      </c>
      <c r="E121" s="190">
        <f t="shared" si="11"/>
        <v>317235.16000000003</v>
      </c>
      <c r="F121" s="190">
        <f t="shared" si="11"/>
        <v>288393.03000000003</v>
      </c>
      <c r="G121" s="190">
        <f t="shared" si="11"/>
        <v>23500</v>
      </c>
      <c r="H121" s="190">
        <f t="shared" si="11"/>
        <v>530029.26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29"/>
  <sheetViews>
    <sheetView showGridLines="0" view="pageBreakPreview" topLeftCell="A71" zoomScale="60" zoomScaleNormal="60" workbookViewId="0">
      <selection activeCell="H101" sqref="H101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8.42578125" style="75" customWidth="1"/>
    <col min="6" max="6" width="18" style="83" customWidth="1"/>
    <col min="7" max="7" width="20.5703125" style="97" bestFit="1" customWidth="1"/>
    <col min="8" max="9" width="17" style="91" customWidth="1"/>
    <col min="10" max="10" width="49.5703125" style="43" customWidth="1"/>
    <col min="11" max="11" width="27.42578125" style="2" customWidth="1"/>
    <col min="12" max="12" width="11.42578125" style="2"/>
    <col min="13" max="13" width="14.140625" style="2" bestFit="1" customWidth="1"/>
    <col min="14" max="249" width="11.42578125" style="2"/>
    <col min="250" max="250" width="9.7109375" style="2" customWidth="1"/>
    <col min="251" max="251" width="6" style="2" customWidth="1"/>
    <col min="252" max="252" width="60.5703125" style="2" customWidth="1"/>
    <col min="253" max="253" width="15.5703125" style="2" customWidth="1"/>
    <col min="254" max="265" width="13.28515625" style="2" customWidth="1"/>
    <col min="266" max="505" width="11.42578125" style="2"/>
    <col min="506" max="506" width="9.7109375" style="2" customWidth="1"/>
    <col min="507" max="507" width="6" style="2" customWidth="1"/>
    <col min="508" max="508" width="60.5703125" style="2" customWidth="1"/>
    <col min="509" max="509" width="15.5703125" style="2" customWidth="1"/>
    <col min="510" max="521" width="13.28515625" style="2" customWidth="1"/>
    <col min="522" max="761" width="11.42578125" style="2"/>
    <col min="762" max="762" width="9.7109375" style="2" customWidth="1"/>
    <col min="763" max="763" width="6" style="2" customWidth="1"/>
    <col min="764" max="764" width="60.5703125" style="2" customWidth="1"/>
    <col min="765" max="765" width="15.5703125" style="2" customWidth="1"/>
    <col min="766" max="777" width="13.28515625" style="2" customWidth="1"/>
    <col min="778" max="1017" width="11.42578125" style="2"/>
    <col min="1018" max="1018" width="9.7109375" style="2" customWidth="1"/>
    <col min="1019" max="1019" width="6" style="2" customWidth="1"/>
    <col min="1020" max="1020" width="60.5703125" style="2" customWidth="1"/>
    <col min="1021" max="1021" width="15.5703125" style="2" customWidth="1"/>
    <col min="1022" max="1033" width="13.28515625" style="2" customWidth="1"/>
    <col min="1034" max="1273" width="11.42578125" style="2"/>
    <col min="1274" max="1274" width="9.7109375" style="2" customWidth="1"/>
    <col min="1275" max="1275" width="6" style="2" customWidth="1"/>
    <col min="1276" max="1276" width="60.5703125" style="2" customWidth="1"/>
    <col min="1277" max="1277" width="15.5703125" style="2" customWidth="1"/>
    <col min="1278" max="1289" width="13.28515625" style="2" customWidth="1"/>
    <col min="1290" max="1529" width="11.42578125" style="2"/>
    <col min="1530" max="1530" width="9.7109375" style="2" customWidth="1"/>
    <col min="1531" max="1531" width="6" style="2" customWidth="1"/>
    <col min="1532" max="1532" width="60.5703125" style="2" customWidth="1"/>
    <col min="1533" max="1533" width="15.5703125" style="2" customWidth="1"/>
    <col min="1534" max="1545" width="13.28515625" style="2" customWidth="1"/>
    <col min="1546" max="1785" width="11.42578125" style="2"/>
    <col min="1786" max="1786" width="9.7109375" style="2" customWidth="1"/>
    <col min="1787" max="1787" width="6" style="2" customWidth="1"/>
    <col min="1788" max="1788" width="60.5703125" style="2" customWidth="1"/>
    <col min="1789" max="1789" width="15.5703125" style="2" customWidth="1"/>
    <col min="1790" max="1801" width="13.28515625" style="2" customWidth="1"/>
    <col min="1802" max="2041" width="11.42578125" style="2"/>
    <col min="2042" max="2042" width="9.7109375" style="2" customWidth="1"/>
    <col min="2043" max="2043" width="6" style="2" customWidth="1"/>
    <col min="2044" max="2044" width="60.5703125" style="2" customWidth="1"/>
    <col min="2045" max="2045" width="15.5703125" style="2" customWidth="1"/>
    <col min="2046" max="2057" width="13.28515625" style="2" customWidth="1"/>
    <col min="2058" max="2297" width="11.42578125" style="2"/>
    <col min="2298" max="2298" width="9.7109375" style="2" customWidth="1"/>
    <col min="2299" max="2299" width="6" style="2" customWidth="1"/>
    <col min="2300" max="2300" width="60.5703125" style="2" customWidth="1"/>
    <col min="2301" max="2301" width="15.5703125" style="2" customWidth="1"/>
    <col min="2302" max="2313" width="13.28515625" style="2" customWidth="1"/>
    <col min="2314" max="2553" width="11.42578125" style="2"/>
    <col min="2554" max="2554" width="9.7109375" style="2" customWidth="1"/>
    <col min="2555" max="2555" width="6" style="2" customWidth="1"/>
    <col min="2556" max="2556" width="60.5703125" style="2" customWidth="1"/>
    <col min="2557" max="2557" width="15.5703125" style="2" customWidth="1"/>
    <col min="2558" max="2569" width="13.28515625" style="2" customWidth="1"/>
    <col min="2570" max="2809" width="11.42578125" style="2"/>
    <col min="2810" max="2810" width="9.7109375" style="2" customWidth="1"/>
    <col min="2811" max="2811" width="6" style="2" customWidth="1"/>
    <col min="2812" max="2812" width="60.5703125" style="2" customWidth="1"/>
    <col min="2813" max="2813" width="15.5703125" style="2" customWidth="1"/>
    <col min="2814" max="2825" width="13.28515625" style="2" customWidth="1"/>
    <col min="2826" max="3065" width="11.42578125" style="2"/>
    <col min="3066" max="3066" width="9.7109375" style="2" customWidth="1"/>
    <col min="3067" max="3067" width="6" style="2" customWidth="1"/>
    <col min="3068" max="3068" width="60.5703125" style="2" customWidth="1"/>
    <col min="3069" max="3069" width="15.5703125" style="2" customWidth="1"/>
    <col min="3070" max="3081" width="13.28515625" style="2" customWidth="1"/>
    <col min="3082" max="3321" width="11.42578125" style="2"/>
    <col min="3322" max="3322" width="9.7109375" style="2" customWidth="1"/>
    <col min="3323" max="3323" width="6" style="2" customWidth="1"/>
    <col min="3324" max="3324" width="60.5703125" style="2" customWidth="1"/>
    <col min="3325" max="3325" width="15.5703125" style="2" customWidth="1"/>
    <col min="3326" max="3337" width="13.28515625" style="2" customWidth="1"/>
    <col min="3338" max="3577" width="11.42578125" style="2"/>
    <col min="3578" max="3578" width="9.7109375" style="2" customWidth="1"/>
    <col min="3579" max="3579" width="6" style="2" customWidth="1"/>
    <col min="3580" max="3580" width="60.5703125" style="2" customWidth="1"/>
    <col min="3581" max="3581" width="15.5703125" style="2" customWidth="1"/>
    <col min="3582" max="3593" width="13.28515625" style="2" customWidth="1"/>
    <col min="3594" max="3833" width="11.42578125" style="2"/>
    <col min="3834" max="3834" width="9.7109375" style="2" customWidth="1"/>
    <col min="3835" max="3835" width="6" style="2" customWidth="1"/>
    <col min="3836" max="3836" width="60.5703125" style="2" customWidth="1"/>
    <col min="3837" max="3837" width="15.5703125" style="2" customWidth="1"/>
    <col min="3838" max="3849" width="13.28515625" style="2" customWidth="1"/>
    <col min="3850" max="4089" width="11.42578125" style="2"/>
    <col min="4090" max="4090" width="9.7109375" style="2" customWidth="1"/>
    <col min="4091" max="4091" width="6" style="2" customWidth="1"/>
    <col min="4092" max="4092" width="60.5703125" style="2" customWidth="1"/>
    <col min="4093" max="4093" width="15.5703125" style="2" customWidth="1"/>
    <col min="4094" max="4105" width="13.28515625" style="2" customWidth="1"/>
    <col min="4106" max="4345" width="11.42578125" style="2"/>
    <col min="4346" max="4346" width="9.7109375" style="2" customWidth="1"/>
    <col min="4347" max="4347" width="6" style="2" customWidth="1"/>
    <col min="4348" max="4348" width="60.5703125" style="2" customWidth="1"/>
    <col min="4349" max="4349" width="15.5703125" style="2" customWidth="1"/>
    <col min="4350" max="4361" width="13.28515625" style="2" customWidth="1"/>
    <col min="4362" max="4601" width="11.42578125" style="2"/>
    <col min="4602" max="4602" width="9.7109375" style="2" customWidth="1"/>
    <col min="4603" max="4603" width="6" style="2" customWidth="1"/>
    <col min="4604" max="4604" width="60.5703125" style="2" customWidth="1"/>
    <col min="4605" max="4605" width="15.5703125" style="2" customWidth="1"/>
    <col min="4606" max="4617" width="13.28515625" style="2" customWidth="1"/>
    <col min="4618" max="4857" width="11.42578125" style="2"/>
    <col min="4858" max="4858" width="9.7109375" style="2" customWidth="1"/>
    <col min="4859" max="4859" width="6" style="2" customWidth="1"/>
    <col min="4860" max="4860" width="60.5703125" style="2" customWidth="1"/>
    <col min="4861" max="4861" width="15.5703125" style="2" customWidth="1"/>
    <col min="4862" max="4873" width="13.28515625" style="2" customWidth="1"/>
    <col min="4874" max="5113" width="11.42578125" style="2"/>
    <col min="5114" max="5114" width="9.7109375" style="2" customWidth="1"/>
    <col min="5115" max="5115" width="6" style="2" customWidth="1"/>
    <col min="5116" max="5116" width="60.5703125" style="2" customWidth="1"/>
    <col min="5117" max="5117" width="15.5703125" style="2" customWidth="1"/>
    <col min="5118" max="5129" width="13.28515625" style="2" customWidth="1"/>
    <col min="5130" max="5369" width="11.42578125" style="2"/>
    <col min="5370" max="5370" width="9.7109375" style="2" customWidth="1"/>
    <col min="5371" max="5371" width="6" style="2" customWidth="1"/>
    <col min="5372" max="5372" width="60.5703125" style="2" customWidth="1"/>
    <col min="5373" max="5373" width="15.5703125" style="2" customWidth="1"/>
    <col min="5374" max="5385" width="13.28515625" style="2" customWidth="1"/>
    <col min="5386" max="5625" width="11.42578125" style="2"/>
    <col min="5626" max="5626" width="9.7109375" style="2" customWidth="1"/>
    <col min="5627" max="5627" width="6" style="2" customWidth="1"/>
    <col min="5628" max="5628" width="60.5703125" style="2" customWidth="1"/>
    <col min="5629" max="5629" width="15.5703125" style="2" customWidth="1"/>
    <col min="5630" max="5641" width="13.28515625" style="2" customWidth="1"/>
    <col min="5642" max="5881" width="11.42578125" style="2"/>
    <col min="5882" max="5882" width="9.7109375" style="2" customWidth="1"/>
    <col min="5883" max="5883" width="6" style="2" customWidth="1"/>
    <col min="5884" max="5884" width="60.5703125" style="2" customWidth="1"/>
    <col min="5885" max="5885" width="15.5703125" style="2" customWidth="1"/>
    <col min="5886" max="5897" width="13.28515625" style="2" customWidth="1"/>
    <col min="5898" max="6137" width="11.42578125" style="2"/>
    <col min="6138" max="6138" width="9.7109375" style="2" customWidth="1"/>
    <col min="6139" max="6139" width="6" style="2" customWidth="1"/>
    <col min="6140" max="6140" width="60.5703125" style="2" customWidth="1"/>
    <col min="6141" max="6141" width="15.5703125" style="2" customWidth="1"/>
    <col min="6142" max="6153" width="13.28515625" style="2" customWidth="1"/>
    <col min="6154" max="6393" width="11.42578125" style="2"/>
    <col min="6394" max="6394" width="9.7109375" style="2" customWidth="1"/>
    <col min="6395" max="6395" width="6" style="2" customWidth="1"/>
    <col min="6396" max="6396" width="60.5703125" style="2" customWidth="1"/>
    <col min="6397" max="6397" width="15.5703125" style="2" customWidth="1"/>
    <col min="6398" max="6409" width="13.28515625" style="2" customWidth="1"/>
    <col min="6410" max="6649" width="11.42578125" style="2"/>
    <col min="6650" max="6650" width="9.7109375" style="2" customWidth="1"/>
    <col min="6651" max="6651" width="6" style="2" customWidth="1"/>
    <col min="6652" max="6652" width="60.5703125" style="2" customWidth="1"/>
    <col min="6653" max="6653" width="15.5703125" style="2" customWidth="1"/>
    <col min="6654" max="6665" width="13.28515625" style="2" customWidth="1"/>
    <col min="6666" max="6905" width="11.42578125" style="2"/>
    <col min="6906" max="6906" width="9.7109375" style="2" customWidth="1"/>
    <col min="6907" max="6907" width="6" style="2" customWidth="1"/>
    <col min="6908" max="6908" width="60.5703125" style="2" customWidth="1"/>
    <col min="6909" max="6909" width="15.5703125" style="2" customWidth="1"/>
    <col min="6910" max="6921" width="13.28515625" style="2" customWidth="1"/>
    <col min="6922" max="7161" width="11.42578125" style="2"/>
    <col min="7162" max="7162" width="9.7109375" style="2" customWidth="1"/>
    <col min="7163" max="7163" width="6" style="2" customWidth="1"/>
    <col min="7164" max="7164" width="60.5703125" style="2" customWidth="1"/>
    <col min="7165" max="7165" width="15.5703125" style="2" customWidth="1"/>
    <col min="7166" max="7177" width="13.28515625" style="2" customWidth="1"/>
    <col min="7178" max="7417" width="11.42578125" style="2"/>
    <col min="7418" max="7418" width="9.7109375" style="2" customWidth="1"/>
    <col min="7419" max="7419" width="6" style="2" customWidth="1"/>
    <col min="7420" max="7420" width="60.5703125" style="2" customWidth="1"/>
    <col min="7421" max="7421" width="15.5703125" style="2" customWidth="1"/>
    <col min="7422" max="7433" width="13.28515625" style="2" customWidth="1"/>
    <col min="7434" max="7673" width="11.42578125" style="2"/>
    <col min="7674" max="7674" width="9.7109375" style="2" customWidth="1"/>
    <col min="7675" max="7675" width="6" style="2" customWidth="1"/>
    <col min="7676" max="7676" width="60.5703125" style="2" customWidth="1"/>
    <col min="7677" max="7677" width="15.5703125" style="2" customWidth="1"/>
    <col min="7678" max="7689" width="13.28515625" style="2" customWidth="1"/>
    <col min="7690" max="7929" width="11.42578125" style="2"/>
    <col min="7930" max="7930" width="9.7109375" style="2" customWidth="1"/>
    <col min="7931" max="7931" width="6" style="2" customWidth="1"/>
    <col min="7932" max="7932" width="60.5703125" style="2" customWidth="1"/>
    <col min="7933" max="7933" width="15.5703125" style="2" customWidth="1"/>
    <col min="7934" max="7945" width="13.28515625" style="2" customWidth="1"/>
    <col min="7946" max="8185" width="11.42578125" style="2"/>
    <col min="8186" max="8186" width="9.7109375" style="2" customWidth="1"/>
    <col min="8187" max="8187" width="6" style="2" customWidth="1"/>
    <col min="8188" max="8188" width="60.5703125" style="2" customWidth="1"/>
    <col min="8189" max="8189" width="15.5703125" style="2" customWidth="1"/>
    <col min="8190" max="8201" width="13.28515625" style="2" customWidth="1"/>
    <col min="8202" max="8441" width="11.42578125" style="2"/>
    <col min="8442" max="8442" width="9.7109375" style="2" customWidth="1"/>
    <col min="8443" max="8443" width="6" style="2" customWidth="1"/>
    <col min="8444" max="8444" width="60.5703125" style="2" customWidth="1"/>
    <col min="8445" max="8445" width="15.5703125" style="2" customWidth="1"/>
    <col min="8446" max="8457" width="13.28515625" style="2" customWidth="1"/>
    <col min="8458" max="8697" width="11.42578125" style="2"/>
    <col min="8698" max="8698" width="9.7109375" style="2" customWidth="1"/>
    <col min="8699" max="8699" width="6" style="2" customWidth="1"/>
    <col min="8700" max="8700" width="60.5703125" style="2" customWidth="1"/>
    <col min="8701" max="8701" width="15.5703125" style="2" customWidth="1"/>
    <col min="8702" max="8713" width="13.28515625" style="2" customWidth="1"/>
    <col min="8714" max="8953" width="11.42578125" style="2"/>
    <col min="8954" max="8954" width="9.7109375" style="2" customWidth="1"/>
    <col min="8955" max="8955" width="6" style="2" customWidth="1"/>
    <col min="8956" max="8956" width="60.5703125" style="2" customWidth="1"/>
    <col min="8957" max="8957" width="15.5703125" style="2" customWidth="1"/>
    <col min="8958" max="8969" width="13.28515625" style="2" customWidth="1"/>
    <col min="8970" max="9209" width="11.42578125" style="2"/>
    <col min="9210" max="9210" width="9.7109375" style="2" customWidth="1"/>
    <col min="9211" max="9211" width="6" style="2" customWidth="1"/>
    <col min="9212" max="9212" width="60.5703125" style="2" customWidth="1"/>
    <col min="9213" max="9213" width="15.5703125" style="2" customWidth="1"/>
    <col min="9214" max="9225" width="13.28515625" style="2" customWidth="1"/>
    <col min="9226" max="9465" width="11.42578125" style="2"/>
    <col min="9466" max="9466" width="9.7109375" style="2" customWidth="1"/>
    <col min="9467" max="9467" width="6" style="2" customWidth="1"/>
    <col min="9468" max="9468" width="60.5703125" style="2" customWidth="1"/>
    <col min="9469" max="9469" width="15.5703125" style="2" customWidth="1"/>
    <col min="9470" max="9481" width="13.28515625" style="2" customWidth="1"/>
    <col min="9482" max="9721" width="11.42578125" style="2"/>
    <col min="9722" max="9722" width="9.7109375" style="2" customWidth="1"/>
    <col min="9723" max="9723" width="6" style="2" customWidth="1"/>
    <col min="9724" max="9724" width="60.5703125" style="2" customWidth="1"/>
    <col min="9725" max="9725" width="15.5703125" style="2" customWidth="1"/>
    <col min="9726" max="9737" width="13.28515625" style="2" customWidth="1"/>
    <col min="9738" max="9977" width="11.42578125" style="2"/>
    <col min="9978" max="9978" width="9.7109375" style="2" customWidth="1"/>
    <col min="9979" max="9979" width="6" style="2" customWidth="1"/>
    <col min="9980" max="9980" width="60.5703125" style="2" customWidth="1"/>
    <col min="9981" max="9981" width="15.5703125" style="2" customWidth="1"/>
    <col min="9982" max="9993" width="13.28515625" style="2" customWidth="1"/>
    <col min="9994" max="10233" width="11.42578125" style="2"/>
    <col min="10234" max="10234" width="9.7109375" style="2" customWidth="1"/>
    <col min="10235" max="10235" width="6" style="2" customWidth="1"/>
    <col min="10236" max="10236" width="60.5703125" style="2" customWidth="1"/>
    <col min="10237" max="10237" width="15.5703125" style="2" customWidth="1"/>
    <col min="10238" max="10249" width="13.28515625" style="2" customWidth="1"/>
    <col min="10250" max="10489" width="11.42578125" style="2"/>
    <col min="10490" max="10490" width="9.7109375" style="2" customWidth="1"/>
    <col min="10491" max="10491" width="6" style="2" customWidth="1"/>
    <col min="10492" max="10492" width="60.5703125" style="2" customWidth="1"/>
    <col min="10493" max="10493" width="15.5703125" style="2" customWidth="1"/>
    <col min="10494" max="10505" width="13.28515625" style="2" customWidth="1"/>
    <col min="10506" max="10745" width="11.42578125" style="2"/>
    <col min="10746" max="10746" width="9.7109375" style="2" customWidth="1"/>
    <col min="10747" max="10747" width="6" style="2" customWidth="1"/>
    <col min="10748" max="10748" width="60.5703125" style="2" customWidth="1"/>
    <col min="10749" max="10749" width="15.5703125" style="2" customWidth="1"/>
    <col min="10750" max="10761" width="13.28515625" style="2" customWidth="1"/>
    <col min="10762" max="11001" width="11.42578125" style="2"/>
    <col min="11002" max="11002" width="9.7109375" style="2" customWidth="1"/>
    <col min="11003" max="11003" width="6" style="2" customWidth="1"/>
    <col min="11004" max="11004" width="60.5703125" style="2" customWidth="1"/>
    <col min="11005" max="11005" width="15.5703125" style="2" customWidth="1"/>
    <col min="11006" max="11017" width="13.28515625" style="2" customWidth="1"/>
    <col min="11018" max="11257" width="11.42578125" style="2"/>
    <col min="11258" max="11258" width="9.7109375" style="2" customWidth="1"/>
    <col min="11259" max="11259" width="6" style="2" customWidth="1"/>
    <col min="11260" max="11260" width="60.5703125" style="2" customWidth="1"/>
    <col min="11261" max="11261" width="15.5703125" style="2" customWidth="1"/>
    <col min="11262" max="11273" width="13.28515625" style="2" customWidth="1"/>
    <col min="11274" max="11513" width="11.42578125" style="2"/>
    <col min="11514" max="11514" width="9.7109375" style="2" customWidth="1"/>
    <col min="11515" max="11515" width="6" style="2" customWidth="1"/>
    <col min="11516" max="11516" width="60.5703125" style="2" customWidth="1"/>
    <col min="11517" max="11517" width="15.5703125" style="2" customWidth="1"/>
    <col min="11518" max="11529" width="13.28515625" style="2" customWidth="1"/>
    <col min="11530" max="11769" width="11.42578125" style="2"/>
    <col min="11770" max="11770" width="9.7109375" style="2" customWidth="1"/>
    <col min="11771" max="11771" width="6" style="2" customWidth="1"/>
    <col min="11772" max="11772" width="60.5703125" style="2" customWidth="1"/>
    <col min="11773" max="11773" width="15.5703125" style="2" customWidth="1"/>
    <col min="11774" max="11785" width="13.28515625" style="2" customWidth="1"/>
    <col min="11786" max="12025" width="11.42578125" style="2"/>
    <col min="12026" max="12026" width="9.7109375" style="2" customWidth="1"/>
    <col min="12027" max="12027" width="6" style="2" customWidth="1"/>
    <col min="12028" max="12028" width="60.5703125" style="2" customWidth="1"/>
    <col min="12029" max="12029" width="15.5703125" style="2" customWidth="1"/>
    <col min="12030" max="12041" width="13.28515625" style="2" customWidth="1"/>
    <col min="12042" max="12281" width="11.42578125" style="2"/>
    <col min="12282" max="12282" width="9.7109375" style="2" customWidth="1"/>
    <col min="12283" max="12283" width="6" style="2" customWidth="1"/>
    <col min="12284" max="12284" width="60.5703125" style="2" customWidth="1"/>
    <col min="12285" max="12285" width="15.5703125" style="2" customWidth="1"/>
    <col min="12286" max="12297" width="13.28515625" style="2" customWidth="1"/>
    <col min="12298" max="12537" width="11.42578125" style="2"/>
    <col min="12538" max="12538" width="9.7109375" style="2" customWidth="1"/>
    <col min="12539" max="12539" width="6" style="2" customWidth="1"/>
    <col min="12540" max="12540" width="60.5703125" style="2" customWidth="1"/>
    <col min="12541" max="12541" width="15.5703125" style="2" customWidth="1"/>
    <col min="12542" max="12553" width="13.28515625" style="2" customWidth="1"/>
    <col min="12554" max="12793" width="11.42578125" style="2"/>
    <col min="12794" max="12794" width="9.7109375" style="2" customWidth="1"/>
    <col min="12795" max="12795" width="6" style="2" customWidth="1"/>
    <col min="12796" max="12796" width="60.5703125" style="2" customWidth="1"/>
    <col min="12797" max="12797" width="15.5703125" style="2" customWidth="1"/>
    <col min="12798" max="12809" width="13.28515625" style="2" customWidth="1"/>
    <col min="12810" max="13049" width="11.42578125" style="2"/>
    <col min="13050" max="13050" width="9.7109375" style="2" customWidth="1"/>
    <col min="13051" max="13051" width="6" style="2" customWidth="1"/>
    <col min="13052" max="13052" width="60.5703125" style="2" customWidth="1"/>
    <col min="13053" max="13053" width="15.5703125" style="2" customWidth="1"/>
    <col min="13054" max="13065" width="13.28515625" style="2" customWidth="1"/>
    <col min="13066" max="13305" width="11.42578125" style="2"/>
    <col min="13306" max="13306" width="9.7109375" style="2" customWidth="1"/>
    <col min="13307" max="13307" width="6" style="2" customWidth="1"/>
    <col min="13308" max="13308" width="60.5703125" style="2" customWidth="1"/>
    <col min="13309" max="13309" width="15.5703125" style="2" customWidth="1"/>
    <col min="13310" max="13321" width="13.28515625" style="2" customWidth="1"/>
    <col min="13322" max="13561" width="11.42578125" style="2"/>
    <col min="13562" max="13562" width="9.7109375" style="2" customWidth="1"/>
    <col min="13563" max="13563" width="6" style="2" customWidth="1"/>
    <col min="13564" max="13564" width="60.5703125" style="2" customWidth="1"/>
    <col min="13565" max="13565" width="15.5703125" style="2" customWidth="1"/>
    <col min="13566" max="13577" width="13.28515625" style="2" customWidth="1"/>
    <col min="13578" max="13817" width="11.42578125" style="2"/>
    <col min="13818" max="13818" width="9.7109375" style="2" customWidth="1"/>
    <col min="13819" max="13819" width="6" style="2" customWidth="1"/>
    <col min="13820" max="13820" width="60.5703125" style="2" customWidth="1"/>
    <col min="13821" max="13821" width="15.5703125" style="2" customWidth="1"/>
    <col min="13822" max="13833" width="13.28515625" style="2" customWidth="1"/>
    <col min="13834" max="14073" width="11.42578125" style="2"/>
    <col min="14074" max="14074" width="9.7109375" style="2" customWidth="1"/>
    <col min="14075" max="14075" width="6" style="2" customWidth="1"/>
    <col min="14076" max="14076" width="60.5703125" style="2" customWidth="1"/>
    <col min="14077" max="14077" width="15.5703125" style="2" customWidth="1"/>
    <col min="14078" max="14089" width="13.28515625" style="2" customWidth="1"/>
    <col min="14090" max="14329" width="11.42578125" style="2"/>
    <col min="14330" max="14330" width="9.7109375" style="2" customWidth="1"/>
    <col min="14331" max="14331" width="6" style="2" customWidth="1"/>
    <col min="14332" max="14332" width="60.5703125" style="2" customWidth="1"/>
    <col min="14333" max="14333" width="15.5703125" style="2" customWidth="1"/>
    <col min="14334" max="14345" width="13.28515625" style="2" customWidth="1"/>
    <col min="14346" max="14585" width="11.42578125" style="2"/>
    <col min="14586" max="14586" width="9.7109375" style="2" customWidth="1"/>
    <col min="14587" max="14587" width="6" style="2" customWidth="1"/>
    <col min="14588" max="14588" width="60.5703125" style="2" customWidth="1"/>
    <col min="14589" max="14589" width="15.5703125" style="2" customWidth="1"/>
    <col min="14590" max="14601" width="13.28515625" style="2" customWidth="1"/>
    <col min="14602" max="14841" width="11.42578125" style="2"/>
    <col min="14842" max="14842" width="9.7109375" style="2" customWidth="1"/>
    <col min="14843" max="14843" width="6" style="2" customWidth="1"/>
    <col min="14844" max="14844" width="60.5703125" style="2" customWidth="1"/>
    <col min="14845" max="14845" width="15.5703125" style="2" customWidth="1"/>
    <col min="14846" max="14857" width="13.28515625" style="2" customWidth="1"/>
    <col min="14858" max="15097" width="11.42578125" style="2"/>
    <col min="15098" max="15098" width="9.7109375" style="2" customWidth="1"/>
    <col min="15099" max="15099" width="6" style="2" customWidth="1"/>
    <col min="15100" max="15100" width="60.5703125" style="2" customWidth="1"/>
    <col min="15101" max="15101" width="15.5703125" style="2" customWidth="1"/>
    <col min="15102" max="15113" width="13.28515625" style="2" customWidth="1"/>
    <col min="15114" max="15353" width="11.42578125" style="2"/>
    <col min="15354" max="15354" width="9.7109375" style="2" customWidth="1"/>
    <col min="15355" max="15355" width="6" style="2" customWidth="1"/>
    <col min="15356" max="15356" width="60.5703125" style="2" customWidth="1"/>
    <col min="15357" max="15357" width="15.5703125" style="2" customWidth="1"/>
    <col min="15358" max="15369" width="13.28515625" style="2" customWidth="1"/>
    <col min="15370" max="15609" width="11.42578125" style="2"/>
    <col min="15610" max="15610" width="9.7109375" style="2" customWidth="1"/>
    <col min="15611" max="15611" width="6" style="2" customWidth="1"/>
    <col min="15612" max="15612" width="60.5703125" style="2" customWidth="1"/>
    <col min="15613" max="15613" width="15.5703125" style="2" customWidth="1"/>
    <col min="15614" max="15625" width="13.28515625" style="2" customWidth="1"/>
    <col min="15626" max="15865" width="11.42578125" style="2"/>
    <col min="15866" max="15866" width="9.7109375" style="2" customWidth="1"/>
    <col min="15867" max="15867" width="6" style="2" customWidth="1"/>
    <col min="15868" max="15868" width="60.5703125" style="2" customWidth="1"/>
    <col min="15869" max="15869" width="15.5703125" style="2" customWidth="1"/>
    <col min="15870" max="15881" width="13.28515625" style="2" customWidth="1"/>
    <col min="15882" max="16121" width="11.42578125" style="2"/>
    <col min="16122" max="16122" width="9.7109375" style="2" customWidth="1"/>
    <col min="16123" max="16123" width="6" style="2" customWidth="1"/>
    <col min="16124" max="16124" width="60.5703125" style="2" customWidth="1"/>
    <col min="16125" max="16125" width="15.5703125" style="2" customWidth="1"/>
    <col min="16126" max="16137" width="13.28515625" style="2" customWidth="1"/>
    <col min="16138" max="16384" width="11.42578125" style="2"/>
  </cols>
  <sheetData>
    <row r="1" spans="1:16" ht="27" customHeight="1" x14ac:dyDescent="0.2">
      <c r="C1" s="107"/>
      <c r="D1" s="108"/>
      <c r="E1" s="73"/>
      <c r="F1" s="73"/>
      <c r="G1" s="73"/>
      <c r="H1" s="73"/>
      <c r="I1" s="73"/>
      <c r="J1" s="6" t="s">
        <v>204</v>
      </c>
      <c r="O1" s="7"/>
      <c r="P1" s="7"/>
    </row>
    <row r="2" spans="1:16" ht="27" customHeight="1" x14ac:dyDescent="0.2">
      <c r="A2" s="8"/>
      <c r="B2" s="8"/>
      <c r="C2" s="58"/>
      <c r="D2" s="108"/>
      <c r="E2" s="8"/>
      <c r="F2" s="8"/>
      <c r="G2" s="8"/>
      <c r="H2" s="8"/>
      <c r="I2" s="8"/>
      <c r="J2" s="6" t="s">
        <v>20</v>
      </c>
      <c r="O2" s="7"/>
      <c r="P2" s="7"/>
    </row>
    <row r="3" spans="1:16" ht="3" customHeight="1" x14ac:dyDescent="0.2">
      <c r="A3" s="2"/>
      <c r="B3" s="2"/>
      <c r="C3" s="107"/>
      <c r="D3" s="108"/>
      <c r="E3" s="73"/>
      <c r="F3" s="73"/>
      <c r="G3" s="73"/>
      <c r="H3" s="73"/>
      <c r="I3" s="73"/>
      <c r="J3" s="10"/>
      <c r="O3" s="7"/>
      <c r="P3" s="7"/>
    </row>
    <row r="4" spans="1:16" ht="15.75" customHeight="1" x14ac:dyDescent="0.2">
      <c r="A4" s="11"/>
      <c r="B4" s="11"/>
      <c r="C4" s="109"/>
      <c r="D4" s="110"/>
      <c r="E4" s="111"/>
      <c r="F4" s="111"/>
      <c r="G4" s="111"/>
      <c r="H4" s="111"/>
      <c r="I4" s="111"/>
      <c r="J4" s="423" t="str">
        <f>'SERVICIOS ESCOLARES'!I4</f>
        <v>INSTITUTO TECNOLÓGICO SUPERIOR DE TAMAZULA DE GORDIANO</v>
      </c>
      <c r="O4" s="7"/>
      <c r="P4" s="7"/>
    </row>
    <row r="5" spans="1:16" ht="12.75" customHeight="1" x14ac:dyDescent="0.2">
      <c r="A5" s="11"/>
      <c r="B5" s="11"/>
      <c r="C5" s="109"/>
      <c r="D5" s="110"/>
      <c r="E5" s="111"/>
      <c r="F5" s="111"/>
      <c r="G5" s="111"/>
      <c r="H5" s="111"/>
      <c r="I5" s="111"/>
      <c r="J5" s="9" t="s">
        <v>22</v>
      </c>
      <c r="O5" s="7"/>
      <c r="P5" s="7"/>
    </row>
    <row r="6" spans="1:16" ht="20.25" customHeight="1" x14ac:dyDescent="0.2">
      <c r="A6" s="11"/>
      <c r="B6" s="11"/>
      <c r="C6" s="495" t="s">
        <v>255</v>
      </c>
      <c r="D6" s="495"/>
      <c r="E6" s="495"/>
      <c r="F6" s="495"/>
      <c r="G6" s="495"/>
      <c r="H6" s="495"/>
      <c r="I6" s="426"/>
      <c r="J6" s="423" t="str">
        <f>'SERVICIOS ESCOLARES'!I6</f>
        <v>SUBDIRECCIÓN ACADÉMICA</v>
      </c>
      <c r="O6" s="7"/>
      <c r="P6" s="7"/>
    </row>
    <row r="7" spans="1:16" ht="12.75" customHeight="1" x14ac:dyDescent="0.2">
      <c r="A7" s="11"/>
      <c r="B7" s="11"/>
      <c r="C7" s="495"/>
      <c r="D7" s="495"/>
      <c r="E7" s="495"/>
      <c r="F7" s="495"/>
      <c r="G7" s="495"/>
      <c r="H7" s="495"/>
      <c r="I7" s="426"/>
      <c r="J7" s="357" t="str">
        <f>'SERVICIOS ESCOLARES'!I7</f>
        <v>PROCESO</v>
      </c>
      <c r="O7" s="7"/>
      <c r="P7" s="7"/>
    </row>
    <row r="8" spans="1:16" ht="17.25" customHeight="1" x14ac:dyDescent="0.2">
      <c r="A8" s="11"/>
      <c r="B8" s="11"/>
      <c r="C8" s="495"/>
      <c r="D8" s="495"/>
      <c r="E8" s="495"/>
      <c r="F8" s="495"/>
      <c r="G8" s="495"/>
      <c r="H8" s="495"/>
      <c r="I8" s="426"/>
      <c r="J8" s="423" t="s">
        <v>139</v>
      </c>
      <c r="O8" s="7"/>
      <c r="P8" s="7"/>
    </row>
    <row r="9" spans="1:16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111"/>
      <c r="J9" s="357" t="str">
        <f>'SERVICIOS ESCOLARES'!I9</f>
        <v>AREA</v>
      </c>
      <c r="O9" s="7"/>
      <c r="P9" s="7"/>
    </row>
    <row r="10" spans="1:16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260"/>
      <c r="J10" s="5"/>
      <c r="K10" s="7"/>
      <c r="L10" s="7"/>
      <c r="M10" s="7"/>
      <c r="N10" s="7"/>
      <c r="O10" s="7"/>
      <c r="P10" s="7"/>
    </row>
    <row r="11" spans="1:16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261"/>
      <c r="J11" s="483" t="s">
        <v>27</v>
      </c>
    </row>
    <row r="12" spans="1:16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262"/>
      <c r="J12" s="484"/>
    </row>
    <row r="13" spans="1:16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366662.40000000002</v>
      </c>
      <c r="E13" s="76">
        <v>183331.20000000001</v>
      </c>
      <c r="F13" s="76">
        <v>183331.20000000001</v>
      </c>
      <c r="G13" s="98"/>
      <c r="H13" s="92">
        <v>0</v>
      </c>
      <c r="I13" s="439"/>
      <c r="J13" s="47"/>
      <c r="K13" s="472"/>
    </row>
    <row r="14" spans="1:16" s="21" customFormat="1" x14ac:dyDescent="0.2">
      <c r="A14" s="53">
        <v>1211</v>
      </c>
      <c r="B14" s="19"/>
      <c r="C14" s="52" t="s">
        <v>29</v>
      </c>
      <c r="D14" s="61">
        <f t="shared" si="0"/>
        <v>2958567.5900000003</v>
      </c>
      <c r="E14" s="76">
        <v>1213854.7200000002</v>
      </c>
      <c r="F14" s="84">
        <v>1213854.7200000002</v>
      </c>
      <c r="G14" s="98"/>
      <c r="H14" s="92">
        <v>530858.15</v>
      </c>
      <c r="I14" s="439"/>
      <c r="J14" s="47"/>
      <c r="K14" s="472"/>
    </row>
    <row r="15" spans="1:16" s="21" customFormat="1" ht="24" x14ac:dyDescent="0.2">
      <c r="A15" s="53">
        <v>1311</v>
      </c>
      <c r="B15" s="19"/>
      <c r="C15" s="52" t="s">
        <v>30</v>
      </c>
      <c r="D15" s="61">
        <f t="shared" si="0"/>
        <v>22641.46</v>
      </c>
      <c r="E15" s="76">
        <v>11320.73</v>
      </c>
      <c r="F15" s="84">
        <v>11320.73</v>
      </c>
      <c r="G15" s="98"/>
      <c r="H15" s="92">
        <v>0</v>
      </c>
      <c r="I15" s="439"/>
      <c r="J15" s="47"/>
      <c r="K15" s="472"/>
    </row>
    <row r="16" spans="1:16" s="21" customFormat="1" x14ac:dyDescent="0.2">
      <c r="A16" s="53">
        <v>1321</v>
      </c>
      <c r="B16" s="19"/>
      <c r="C16" s="52" t="s">
        <v>31</v>
      </c>
      <c r="D16" s="61">
        <f>SUM(E16:H16)</f>
        <v>195421.68</v>
      </c>
      <c r="E16" s="76">
        <f>12222.08+85488.76-10565.73</f>
        <v>87145.11</v>
      </c>
      <c r="F16" s="84">
        <f>12222.08+85488.76-10565.73</f>
        <v>87145.11</v>
      </c>
      <c r="G16" s="98"/>
      <c r="H16" s="92">
        <v>21131.46</v>
      </c>
      <c r="I16" s="439"/>
      <c r="J16" s="47"/>
      <c r="K16" s="472"/>
    </row>
    <row r="17" spans="1:13" s="21" customFormat="1" x14ac:dyDescent="0.2">
      <c r="A17" s="53">
        <v>1322</v>
      </c>
      <c r="B17" s="19"/>
      <c r="C17" s="52" t="s">
        <v>32</v>
      </c>
      <c r="D17" s="61">
        <f t="shared" si="0"/>
        <v>485726.69000000006</v>
      </c>
      <c r="E17" s="76">
        <f>20370.14+10185.07+117199.7+82182.86-7672.02</f>
        <v>222265.75000000003</v>
      </c>
      <c r="F17" s="84">
        <f>20370.14+124871.69</f>
        <v>145241.83000000002</v>
      </c>
      <c r="G17" s="98"/>
      <c r="H17" s="92">
        <v>118219.11</v>
      </c>
      <c r="I17" s="439"/>
      <c r="J17" s="47"/>
      <c r="K17" s="472"/>
    </row>
    <row r="18" spans="1:13" s="21" customFormat="1" x14ac:dyDescent="0.2">
      <c r="A18" s="53">
        <v>1343</v>
      </c>
      <c r="B18" s="19"/>
      <c r="C18" s="52" t="s">
        <v>33</v>
      </c>
      <c r="D18" s="61">
        <f t="shared" si="0"/>
        <v>95779.78</v>
      </c>
      <c r="E18" s="76">
        <v>40734.720000000001</v>
      </c>
      <c r="F18" s="84">
        <v>40734.720000000001</v>
      </c>
      <c r="G18" s="98"/>
      <c r="H18" s="92">
        <v>14310.34</v>
      </c>
      <c r="I18" s="439"/>
      <c r="J18" s="47"/>
      <c r="K18" s="472"/>
    </row>
    <row r="19" spans="1:13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39"/>
      <c r="J19" s="47"/>
      <c r="K19" s="472"/>
    </row>
    <row r="20" spans="1:13" s="21" customFormat="1" x14ac:dyDescent="0.2">
      <c r="A20" s="53">
        <v>1421</v>
      </c>
      <c r="B20" s="19"/>
      <c r="C20" s="52" t="s">
        <v>35</v>
      </c>
      <c r="D20" s="61">
        <f t="shared" si="0"/>
        <v>80357.09</v>
      </c>
      <c r="E20" s="76">
        <f>5499.92+33715.36</f>
        <v>39215.279999999999</v>
      </c>
      <c r="F20" s="84">
        <f>5499.91+33715.37</f>
        <v>39215.279999999999</v>
      </c>
      <c r="G20" s="98"/>
      <c r="H20" s="92">
        <v>1926.5299999999997</v>
      </c>
      <c r="I20" s="439"/>
      <c r="J20" s="47"/>
      <c r="K20" s="472"/>
    </row>
    <row r="21" spans="1:13" s="21" customFormat="1" x14ac:dyDescent="0.2">
      <c r="A21" s="53">
        <v>1431</v>
      </c>
      <c r="B21" s="19"/>
      <c r="C21" s="52" t="s">
        <v>36</v>
      </c>
      <c r="D21" s="61">
        <f t="shared" si="0"/>
        <v>281249.13000000006</v>
      </c>
      <c r="E21" s="76">
        <f>19249.78+118003.74</f>
        <v>137253.52000000002</v>
      </c>
      <c r="F21" s="84">
        <f>19249.78+118003.74</f>
        <v>137253.52000000002</v>
      </c>
      <c r="G21" s="98"/>
      <c r="H21" s="92">
        <v>6742.09</v>
      </c>
      <c r="I21" s="439"/>
      <c r="J21" s="47"/>
      <c r="K21" s="472"/>
    </row>
    <row r="22" spans="1:13" s="21" customFormat="1" ht="24" x14ac:dyDescent="0.2">
      <c r="A22" s="53">
        <v>1432</v>
      </c>
      <c r="B22" s="19"/>
      <c r="C22" s="52" t="s">
        <v>37</v>
      </c>
      <c r="D22" s="61">
        <f t="shared" si="0"/>
        <v>53571.47</v>
      </c>
      <c r="E22" s="76">
        <f>3666.63+22476.88</f>
        <v>26143.510000000002</v>
      </c>
      <c r="F22" s="84">
        <f>3666.62+22476.89</f>
        <v>26143.51</v>
      </c>
      <c r="G22" s="98"/>
      <c r="H22" s="92">
        <v>1284.4499999999998</v>
      </c>
      <c r="I22" s="439"/>
      <c r="J22" s="47"/>
      <c r="K22" s="472"/>
    </row>
    <row r="23" spans="1:13" s="21" customFormat="1" x14ac:dyDescent="0.2">
      <c r="A23" s="53">
        <v>1543</v>
      </c>
      <c r="B23" s="19"/>
      <c r="C23" s="52" t="s">
        <v>38</v>
      </c>
      <c r="D23" s="61">
        <f t="shared" si="0"/>
        <v>375842.1</v>
      </c>
      <c r="E23" s="76">
        <v>151458</v>
      </c>
      <c r="F23" s="84">
        <v>151458</v>
      </c>
      <c r="G23" s="98"/>
      <c r="H23" s="92">
        <v>72926.100000000006</v>
      </c>
      <c r="I23" s="439"/>
      <c r="J23" s="47"/>
      <c r="K23" s="472"/>
    </row>
    <row r="24" spans="1:13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>
        <v>0</v>
      </c>
      <c r="I24" s="439"/>
      <c r="J24" s="47"/>
      <c r="K24" s="472"/>
    </row>
    <row r="25" spans="1:13" s="21" customFormat="1" x14ac:dyDescent="0.2">
      <c r="A25" s="53">
        <v>1715</v>
      </c>
      <c r="B25" s="19"/>
      <c r="C25" s="52" t="s">
        <v>39</v>
      </c>
      <c r="D25" s="61">
        <f t="shared" si="0"/>
        <v>15277.6</v>
      </c>
      <c r="E25" s="76">
        <v>15277.6</v>
      </c>
      <c r="F25" s="84"/>
      <c r="G25" s="98"/>
      <c r="H25" s="92">
        <v>0</v>
      </c>
      <c r="I25" s="439"/>
      <c r="J25" s="47"/>
      <c r="K25" s="472"/>
    </row>
    <row r="26" spans="1:13" s="21" customFormat="1" x14ac:dyDescent="0.2">
      <c r="A26" s="53">
        <v>1719</v>
      </c>
      <c r="B26" s="19"/>
      <c r="C26" s="52" t="s">
        <v>40</v>
      </c>
      <c r="D26" s="61">
        <f t="shared" si="0"/>
        <v>11818</v>
      </c>
      <c r="E26" s="76">
        <v>5909</v>
      </c>
      <c r="F26" s="84">
        <v>5909</v>
      </c>
      <c r="G26" s="98"/>
      <c r="H26" s="92">
        <v>0</v>
      </c>
      <c r="I26" s="439"/>
      <c r="J26" s="47"/>
      <c r="K26" s="472"/>
    </row>
    <row r="27" spans="1:13" s="21" customFormat="1" x14ac:dyDescent="0.2">
      <c r="A27" s="53">
        <v>1712</v>
      </c>
      <c r="B27" s="19"/>
      <c r="C27" s="52" t="s">
        <v>41</v>
      </c>
      <c r="D27" s="61">
        <f t="shared" si="0"/>
        <v>162497.28</v>
      </c>
      <c r="E27" s="76">
        <f>7452+69174.53</f>
        <v>76626.53</v>
      </c>
      <c r="F27" s="84">
        <f>7452+69174.53</f>
        <v>76626.53</v>
      </c>
      <c r="G27" s="98"/>
      <c r="H27" s="92">
        <v>9244.2199999999993</v>
      </c>
      <c r="I27" s="439"/>
      <c r="J27" s="47"/>
      <c r="K27" s="472"/>
    </row>
    <row r="28" spans="1:13" s="11" customFormat="1" ht="25.5" x14ac:dyDescent="0.2">
      <c r="A28" s="22"/>
      <c r="B28" s="22"/>
      <c r="C28" s="62" t="s">
        <v>16</v>
      </c>
      <c r="D28" s="65">
        <f t="shared" ref="D28:H28" si="1">SUM(D13:D27)</f>
        <v>5105412.2699999996</v>
      </c>
      <c r="E28" s="65">
        <f t="shared" si="1"/>
        <v>2210535.67</v>
      </c>
      <c r="F28" s="65">
        <f t="shared" si="1"/>
        <v>2118234.1500000004</v>
      </c>
      <c r="G28" s="65">
        <f t="shared" si="1"/>
        <v>0</v>
      </c>
      <c r="H28" s="65">
        <f t="shared" si="1"/>
        <v>776642.44999999984</v>
      </c>
      <c r="I28" s="65"/>
      <c r="J28" s="25"/>
      <c r="K28" s="26"/>
      <c r="M28" s="46"/>
    </row>
    <row r="29" spans="1:13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18000</v>
      </c>
      <c r="E29" s="76">
        <f>4000</f>
        <v>4000</v>
      </c>
      <c r="F29" s="85">
        <v>4000</v>
      </c>
      <c r="G29" s="99"/>
      <c r="H29" s="93">
        <v>10000</v>
      </c>
      <c r="I29" s="440"/>
      <c r="J29" s="30"/>
    </row>
    <row r="30" spans="1:13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441"/>
      <c r="J30" s="30"/>
    </row>
    <row r="31" spans="1:13" s="21" customFormat="1" ht="36" x14ac:dyDescent="0.2">
      <c r="A31" s="54">
        <v>2141</v>
      </c>
      <c r="B31" s="64"/>
      <c r="C31" s="49" t="s">
        <v>43</v>
      </c>
      <c r="D31" s="61">
        <f t="shared" si="2"/>
        <v>10000</v>
      </c>
      <c r="E31" s="77"/>
      <c r="F31" s="86"/>
      <c r="G31" s="100"/>
      <c r="H31" s="94">
        <v>10000</v>
      </c>
      <c r="I31" s="442"/>
      <c r="J31" s="30"/>
    </row>
    <row r="32" spans="1:13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/>
      <c r="F32" s="85"/>
      <c r="G32" s="100"/>
      <c r="H32" s="103"/>
      <c r="I32" s="443"/>
      <c r="J32" s="30"/>
    </row>
    <row r="33" spans="1:10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440"/>
      <c r="J33" s="30"/>
    </row>
    <row r="34" spans="1:10" s="21" customFormat="1" ht="14.25" x14ac:dyDescent="0.2">
      <c r="A34" s="54">
        <v>2171</v>
      </c>
      <c r="B34" s="64"/>
      <c r="C34" s="49" t="s">
        <v>46</v>
      </c>
      <c r="D34" s="61">
        <f t="shared" si="2"/>
        <v>8000</v>
      </c>
      <c r="E34" s="77">
        <v>4000</v>
      </c>
      <c r="F34" s="85">
        <v>4000</v>
      </c>
      <c r="G34" s="99"/>
      <c r="H34" s="93"/>
      <c r="I34" s="440"/>
      <c r="J34" s="30"/>
    </row>
    <row r="35" spans="1:10" s="21" customFormat="1" ht="24" x14ac:dyDescent="0.2">
      <c r="A35" s="54">
        <v>2211</v>
      </c>
      <c r="B35" s="64"/>
      <c r="C35" s="49" t="s">
        <v>47</v>
      </c>
      <c r="D35" s="61">
        <f t="shared" si="2"/>
        <v>16000</v>
      </c>
      <c r="E35" s="77">
        <v>8000</v>
      </c>
      <c r="F35" s="86">
        <v>8000</v>
      </c>
      <c r="G35" s="100"/>
      <c r="H35" s="94"/>
      <c r="I35" s="442"/>
      <c r="J35" s="30"/>
    </row>
    <row r="36" spans="1:10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440"/>
      <c r="J36" s="30"/>
    </row>
    <row r="37" spans="1:10" s="21" customFormat="1" ht="14.25" x14ac:dyDescent="0.2">
      <c r="A37" s="54">
        <v>2231</v>
      </c>
      <c r="B37" s="64"/>
      <c r="C37" s="49" t="s">
        <v>49</v>
      </c>
      <c r="D37" s="61">
        <f t="shared" si="2"/>
        <v>5000</v>
      </c>
      <c r="E37" s="77"/>
      <c r="F37" s="85"/>
      <c r="G37" s="99"/>
      <c r="H37" s="93">
        <v>5000</v>
      </c>
      <c r="I37" s="440"/>
      <c r="J37" s="30"/>
    </row>
    <row r="38" spans="1:10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440"/>
      <c r="J38" s="30"/>
    </row>
    <row r="39" spans="1:10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440"/>
      <c r="J39" s="30"/>
    </row>
    <row r="40" spans="1:10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440"/>
      <c r="J40" s="30"/>
    </row>
    <row r="41" spans="1:10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440"/>
      <c r="J41" s="30"/>
    </row>
    <row r="42" spans="1:10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440"/>
      <c r="J42" s="30"/>
    </row>
    <row r="43" spans="1:10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440"/>
      <c r="J43" s="30"/>
    </row>
    <row r="44" spans="1:10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77"/>
      <c r="F44" s="85"/>
      <c r="G44" s="99"/>
      <c r="H44" s="93"/>
      <c r="I44" s="440"/>
      <c r="J44" s="30"/>
    </row>
    <row r="45" spans="1:10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440"/>
      <c r="J45" s="30"/>
    </row>
    <row r="46" spans="1:10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442"/>
      <c r="J46" s="30"/>
    </row>
    <row r="47" spans="1:10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/>
      <c r="F47" s="85"/>
      <c r="G47" s="100"/>
      <c r="H47" s="93"/>
      <c r="I47" s="440"/>
      <c r="J47" s="30"/>
    </row>
    <row r="48" spans="1:10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77"/>
      <c r="F48" s="86"/>
      <c r="G48" s="100"/>
      <c r="H48" s="94"/>
      <c r="I48" s="442"/>
      <c r="J48" s="30"/>
    </row>
    <row r="49" spans="1:10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7"/>
      <c r="F49" s="85"/>
      <c r="G49" s="99"/>
      <c r="H49" s="93"/>
      <c r="I49" s="440"/>
      <c r="J49" s="30"/>
    </row>
    <row r="50" spans="1:10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440"/>
      <c r="J50" s="30"/>
    </row>
    <row r="51" spans="1:10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9"/>
      <c r="H51" s="93"/>
      <c r="I51" s="440"/>
      <c r="J51" s="30"/>
    </row>
    <row r="52" spans="1:10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5"/>
      <c r="G52" s="99"/>
      <c r="H52" s="93"/>
      <c r="I52" s="440"/>
      <c r="J52" s="30"/>
    </row>
    <row r="53" spans="1:10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/>
      <c r="F53" s="85"/>
      <c r="G53" s="99"/>
      <c r="H53" s="93"/>
      <c r="I53" s="440"/>
      <c r="J53" s="30"/>
    </row>
    <row r="54" spans="1:10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442"/>
      <c r="J54" s="30"/>
    </row>
    <row r="55" spans="1:10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440"/>
      <c r="J55" s="30"/>
    </row>
    <row r="56" spans="1:10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440"/>
      <c r="J56" s="30"/>
    </row>
    <row r="57" spans="1:10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/>
      <c r="F57" s="85"/>
      <c r="G57" s="99"/>
      <c r="H57" s="93"/>
      <c r="I57" s="440"/>
      <c r="J57" s="30"/>
    </row>
    <row r="58" spans="1:10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/>
      <c r="F58" s="85"/>
      <c r="G58" s="99"/>
      <c r="H58" s="93"/>
      <c r="I58" s="440"/>
      <c r="J58" s="30"/>
    </row>
    <row r="59" spans="1:10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77"/>
      <c r="F59" s="85"/>
      <c r="G59" s="99"/>
      <c r="H59" s="93"/>
      <c r="I59" s="440"/>
      <c r="J59" s="30"/>
    </row>
    <row r="60" spans="1:10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440"/>
      <c r="J60" s="30"/>
    </row>
    <row r="61" spans="1:10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440"/>
      <c r="J61" s="30"/>
    </row>
    <row r="62" spans="1:10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440"/>
      <c r="J62" s="30"/>
    </row>
    <row r="63" spans="1:10" s="21" customFormat="1" ht="36" x14ac:dyDescent="0.2">
      <c r="A63" s="54">
        <v>2951</v>
      </c>
      <c r="B63" s="64"/>
      <c r="C63" s="51" t="s">
        <v>75</v>
      </c>
      <c r="D63" s="61">
        <f t="shared" si="2"/>
        <v>0</v>
      </c>
      <c r="E63" s="77"/>
      <c r="F63" s="86"/>
      <c r="G63" s="99"/>
      <c r="H63" s="93"/>
      <c r="I63" s="440"/>
      <c r="J63" s="30"/>
    </row>
    <row r="64" spans="1:10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442"/>
      <c r="J64" s="30"/>
    </row>
    <row r="65" spans="1:11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77"/>
      <c r="F65" s="85"/>
      <c r="G65" s="99"/>
      <c r="H65" s="93"/>
      <c r="I65" s="440"/>
      <c r="J65" s="30"/>
    </row>
    <row r="66" spans="1:11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440"/>
      <c r="J66" s="30"/>
    </row>
    <row r="67" spans="1:11" s="11" customFormat="1" ht="25.5" x14ac:dyDescent="0.2">
      <c r="A67" s="22"/>
      <c r="B67" s="22"/>
      <c r="C67" s="62" t="s">
        <v>17</v>
      </c>
      <c r="D67" s="66">
        <f>SUM(D29:D66)</f>
        <v>57000</v>
      </c>
      <c r="E67" s="66">
        <f t="shared" ref="E67:H67" si="3">SUM(E29:E66)</f>
        <v>16000</v>
      </c>
      <c r="F67" s="66">
        <f t="shared" si="3"/>
        <v>16000</v>
      </c>
      <c r="G67" s="66">
        <f t="shared" si="3"/>
        <v>0</v>
      </c>
      <c r="H67" s="66">
        <f t="shared" si="3"/>
        <v>25000</v>
      </c>
      <c r="I67" s="66"/>
      <c r="J67" s="25"/>
      <c r="K67" s="26"/>
    </row>
    <row r="68" spans="1:11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442"/>
      <c r="J68" s="30"/>
    </row>
    <row r="69" spans="1:11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/>
      <c r="F69" s="86"/>
      <c r="G69" s="99"/>
      <c r="H69" s="93"/>
      <c r="I69" s="440"/>
      <c r="J69" s="30"/>
    </row>
    <row r="70" spans="1:11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440"/>
      <c r="J70" s="30"/>
    </row>
    <row r="71" spans="1:11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442"/>
      <c r="J71" s="30"/>
    </row>
    <row r="72" spans="1:11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/>
      <c r="G72" s="100"/>
      <c r="H72" s="94"/>
      <c r="I72" s="442"/>
      <c r="J72" s="30"/>
    </row>
    <row r="73" spans="1:11" s="21" customFormat="1" ht="14.25" x14ac:dyDescent="0.2">
      <c r="A73" s="54">
        <v>3181</v>
      </c>
      <c r="B73" s="64"/>
      <c r="C73" s="49" t="s">
        <v>85</v>
      </c>
      <c r="D73" s="61">
        <f t="shared" si="4"/>
        <v>3000</v>
      </c>
      <c r="E73" s="77"/>
      <c r="F73" s="86"/>
      <c r="G73" s="100"/>
      <c r="H73" s="94">
        <v>3000</v>
      </c>
      <c r="I73" s="442"/>
      <c r="J73" s="30"/>
    </row>
    <row r="74" spans="1:11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/>
      <c r="F74" s="86"/>
      <c r="G74" s="100"/>
      <c r="H74" s="94"/>
      <c r="I74" s="442"/>
      <c r="J74" s="30"/>
    </row>
    <row r="75" spans="1:11" s="21" customFormat="1" ht="14.25" x14ac:dyDescent="0.2">
      <c r="A75" s="56">
        <v>3231</v>
      </c>
      <c r="B75" s="32"/>
      <c r="C75" s="50" t="s">
        <v>87</v>
      </c>
      <c r="D75" s="61">
        <f t="shared" si="4"/>
        <v>5000</v>
      </c>
      <c r="E75" s="77"/>
      <c r="F75" s="85"/>
      <c r="G75" s="99"/>
      <c r="H75" s="93">
        <v>5000</v>
      </c>
      <c r="I75" s="440"/>
      <c r="J75" s="30"/>
    </row>
    <row r="76" spans="1:11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442"/>
      <c r="J76" s="30"/>
    </row>
    <row r="77" spans="1:11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442"/>
      <c r="J77" s="30"/>
    </row>
    <row r="78" spans="1:11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442"/>
      <c r="J78" s="30"/>
    </row>
    <row r="79" spans="1:11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440"/>
      <c r="J79" s="30"/>
    </row>
    <row r="80" spans="1:11" s="21" customFormat="1" ht="14.25" x14ac:dyDescent="0.2">
      <c r="A80" s="54">
        <v>3342</v>
      </c>
      <c r="B80" s="64"/>
      <c r="C80" s="49" t="s">
        <v>92</v>
      </c>
      <c r="D80" s="61">
        <f t="shared" si="4"/>
        <v>70000</v>
      </c>
      <c r="E80" s="77"/>
      <c r="F80" s="85">
        <v>70000</v>
      </c>
      <c r="G80" s="99"/>
      <c r="H80" s="93"/>
      <c r="I80" s="440"/>
      <c r="J80" s="30"/>
    </row>
    <row r="81" spans="1:10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440"/>
      <c r="J81" s="30"/>
    </row>
    <row r="82" spans="1:10" s="21" customFormat="1" ht="14.25" x14ac:dyDescent="0.2">
      <c r="A82" s="54">
        <v>3362</v>
      </c>
      <c r="B82" s="64"/>
      <c r="C82" s="49" t="s">
        <v>94</v>
      </c>
      <c r="D82" s="61">
        <f t="shared" si="4"/>
        <v>0</v>
      </c>
      <c r="E82" s="77"/>
      <c r="F82" s="88"/>
      <c r="G82" s="99"/>
      <c r="H82" s="93"/>
      <c r="I82" s="440"/>
      <c r="J82" s="30"/>
    </row>
    <row r="83" spans="1:10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440"/>
      <c r="J83" s="30"/>
    </row>
    <row r="84" spans="1:10" s="21" customFormat="1" ht="24" x14ac:dyDescent="0.2">
      <c r="A84" s="54">
        <v>3391</v>
      </c>
      <c r="B84" s="64"/>
      <c r="C84" s="49" t="s">
        <v>96</v>
      </c>
      <c r="D84" s="61">
        <f>SUM(E84:I84)</f>
        <v>295000</v>
      </c>
      <c r="E84" s="77"/>
      <c r="F84" s="86"/>
      <c r="G84" s="100"/>
      <c r="H84" s="94">
        <f>380000-75000-90000</f>
        <v>215000</v>
      </c>
      <c r="I84" s="442">
        <v>80000</v>
      </c>
      <c r="J84" s="30"/>
    </row>
    <row r="85" spans="1:10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442"/>
      <c r="J85" s="30"/>
    </row>
    <row r="86" spans="1:10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440"/>
      <c r="J86" s="30"/>
    </row>
    <row r="87" spans="1:10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440"/>
      <c r="J87" s="30"/>
    </row>
    <row r="88" spans="1:10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440"/>
      <c r="J88" s="30"/>
    </row>
    <row r="89" spans="1:10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442"/>
      <c r="J89" s="33"/>
    </row>
    <row r="90" spans="1:10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440"/>
      <c r="J90" s="30"/>
    </row>
    <row r="91" spans="1:10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442"/>
      <c r="J91" s="30"/>
    </row>
    <row r="92" spans="1:10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440"/>
      <c r="J92" s="30"/>
    </row>
    <row r="93" spans="1:10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440"/>
      <c r="J93" s="30"/>
    </row>
    <row r="94" spans="1:10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7"/>
      <c r="F94" s="85"/>
      <c r="G94" s="99"/>
      <c r="H94" s="93"/>
      <c r="I94" s="440"/>
      <c r="J94" s="30"/>
    </row>
    <row r="95" spans="1:10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440"/>
      <c r="J95" s="30"/>
    </row>
    <row r="96" spans="1:10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50000</v>
      </c>
      <c r="E96" s="77"/>
      <c r="F96" s="86"/>
      <c r="G96" s="100"/>
      <c r="H96" s="93">
        <v>50000</v>
      </c>
      <c r="I96" s="440"/>
      <c r="J96" s="30"/>
    </row>
    <row r="97" spans="1:11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8000</v>
      </c>
      <c r="E97" s="77"/>
      <c r="F97" s="85"/>
      <c r="G97" s="99">
        <v>8000</v>
      </c>
      <c r="H97" s="94"/>
      <c r="I97" s="442"/>
      <c r="J97" s="30"/>
    </row>
    <row r="98" spans="1:11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18000</v>
      </c>
      <c r="E98" s="77"/>
      <c r="F98" s="86"/>
      <c r="G98" s="100">
        <v>3000</v>
      </c>
      <c r="H98" s="94">
        <v>15000</v>
      </c>
      <c r="I98" s="442"/>
      <c r="J98" s="33"/>
    </row>
    <row r="99" spans="1:11" s="34" customFormat="1" ht="14.25" x14ac:dyDescent="0.2">
      <c r="A99" s="54">
        <v>3751</v>
      </c>
      <c r="B99" s="64"/>
      <c r="C99" s="49" t="s">
        <v>111</v>
      </c>
      <c r="D99" s="61">
        <f t="shared" si="4"/>
        <v>40000</v>
      </c>
      <c r="E99" s="77"/>
      <c r="F99" s="86"/>
      <c r="G99" s="181">
        <f>15000+25000</f>
        <v>40000</v>
      </c>
      <c r="H99" s="94"/>
      <c r="I99" s="442"/>
      <c r="J99" s="33"/>
    </row>
    <row r="100" spans="1:11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/>
      <c r="F100" s="86"/>
      <c r="G100" s="100"/>
      <c r="H100" s="94"/>
      <c r="I100" s="442"/>
      <c r="J100" s="33"/>
    </row>
    <row r="101" spans="1:11" s="34" customFormat="1" ht="14.25" x14ac:dyDescent="0.2">
      <c r="A101" s="54">
        <v>3821</v>
      </c>
      <c r="B101" s="64"/>
      <c r="C101" s="49" t="s">
        <v>113</v>
      </c>
      <c r="D101" s="61">
        <f t="shared" si="4"/>
        <v>55000</v>
      </c>
      <c r="E101" s="77"/>
      <c r="F101" s="86"/>
      <c r="G101" s="100"/>
      <c r="H101" s="94">
        <v>55000</v>
      </c>
      <c r="I101" s="442"/>
      <c r="J101" s="33"/>
    </row>
    <row r="102" spans="1:11" s="34" customFormat="1" ht="14.25" x14ac:dyDescent="0.2">
      <c r="A102" s="54">
        <v>3822</v>
      </c>
      <c r="B102" s="64"/>
      <c r="C102" s="49" t="s">
        <v>114</v>
      </c>
      <c r="D102" s="61">
        <f t="shared" si="4"/>
        <v>105069.74</v>
      </c>
      <c r="E102" s="77"/>
      <c r="F102" s="86"/>
      <c r="G102" s="100">
        <v>11000</v>
      </c>
      <c r="H102" s="94">
        <f>94069.74-40000+40000</f>
        <v>94069.74</v>
      </c>
      <c r="I102" s="442"/>
      <c r="J102" s="33" t="s">
        <v>214</v>
      </c>
    </row>
    <row r="103" spans="1:11" s="34" customFormat="1" ht="14.25" x14ac:dyDescent="0.2">
      <c r="A103" s="54">
        <v>3792</v>
      </c>
      <c r="B103" s="64"/>
      <c r="C103" s="49" t="s">
        <v>115</v>
      </c>
      <c r="D103" s="61">
        <f t="shared" si="4"/>
        <v>2000</v>
      </c>
      <c r="E103" s="77"/>
      <c r="F103" s="86"/>
      <c r="G103" s="100"/>
      <c r="H103" s="94">
        <v>2000</v>
      </c>
      <c r="I103" s="442"/>
      <c r="J103" s="33"/>
    </row>
    <row r="104" spans="1:11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77"/>
      <c r="F104" s="86"/>
      <c r="G104" s="104"/>
      <c r="H104" s="94"/>
      <c r="I104" s="442"/>
      <c r="J104" s="33"/>
    </row>
    <row r="105" spans="1:11" s="11" customFormat="1" ht="25.5" x14ac:dyDescent="0.2">
      <c r="A105" s="22"/>
      <c r="B105" s="22"/>
      <c r="C105" s="62" t="s">
        <v>18</v>
      </c>
      <c r="D105" s="65">
        <f t="shared" ref="D105:H105" si="5">SUM(D68:D104)</f>
        <v>651069.74</v>
      </c>
      <c r="E105" s="65">
        <f t="shared" si="5"/>
        <v>0</v>
      </c>
      <c r="F105" s="65">
        <f t="shared" si="5"/>
        <v>70000</v>
      </c>
      <c r="G105" s="65">
        <f t="shared" si="5"/>
        <v>62000</v>
      </c>
      <c r="H105" s="65">
        <f t="shared" si="5"/>
        <v>439069.74</v>
      </c>
      <c r="I105" s="65"/>
      <c r="J105" s="30"/>
      <c r="K105" s="26"/>
    </row>
    <row r="106" spans="1:11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6"/>
      <c r="I106" s="444"/>
      <c r="J106" s="38"/>
    </row>
    <row r="107" spans="1:11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3"/>
      <c r="J107" s="25"/>
    </row>
    <row r="108" spans="1:11" s="73" customFormat="1" ht="25.5" x14ac:dyDescent="0.2">
      <c r="A108" s="35">
        <v>5151</v>
      </c>
      <c r="B108" s="35"/>
      <c r="C108" s="40" t="s">
        <v>144</v>
      </c>
      <c r="D108" s="69"/>
      <c r="E108" s="82"/>
      <c r="F108" s="90"/>
      <c r="G108" s="101"/>
      <c r="H108" s="96"/>
      <c r="I108" s="444"/>
      <c r="J108" s="72"/>
    </row>
    <row r="109" spans="1:11" s="73" customFormat="1" x14ac:dyDescent="0.2">
      <c r="A109" s="35">
        <v>5611</v>
      </c>
      <c r="B109" s="35"/>
      <c r="C109" s="60" t="s">
        <v>146</v>
      </c>
      <c r="D109" s="69"/>
      <c r="E109" s="82"/>
      <c r="F109" s="90"/>
      <c r="G109" s="101"/>
      <c r="H109" s="96"/>
      <c r="I109" s="444"/>
      <c r="J109" s="72"/>
    </row>
    <row r="110" spans="1:11" s="73" customFormat="1" x14ac:dyDescent="0.2">
      <c r="A110" s="35">
        <v>5621</v>
      </c>
      <c r="B110" s="35"/>
      <c r="C110" s="60" t="s">
        <v>149</v>
      </c>
      <c r="D110" s="69"/>
      <c r="E110" s="82"/>
      <c r="F110" s="90"/>
      <c r="G110" s="101"/>
      <c r="H110" s="96"/>
      <c r="I110" s="444"/>
      <c r="J110" s="72"/>
    </row>
    <row r="111" spans="1:11" s="73" customFormat="1" x14ac:dyDescent="0.2">
      <c r="A111" s="35">
        <v>5911</v>
      </c>
      <c r="B111" s="35"/>
      <c r="C111" s="60" t="s">
        <v>145</v>
      </c>
      <c r="D111" s="69">
        <f>SUM(E111:H111)</f>
        <v>0</v>
      </c>
      <c r="E111" s="82"/>
      <c r="F111" s="90"/>
      <c r="G111" s="101"/>
      <c r="H111" s="96"/>
      <c r="I111" s="444"/>
      <c r="J111" s="72"/>
    </row>
    <row r="112" spans="1:11" s="11" customFormat="1" ht="25.5" x14ac:dyDescent="0.2">
      <c r="A112" s="22"/>
      <c r="B112" s="22"/>
      <c r="C112" s="62" t="s">
        <v>118</v>
      </c>
      <c r="D112" s="23">
        <f t="shared" ref="D112:H112" si="7">SUM(D111:D111)</f>
        <v>0</v>
      </c>
      <c r="E112" s="23">
        <f t="shared" si="7"/>
        <v>0</v>
      </c>
      <c r="F112" s="23">
        <f t="shared" si="7"/>
        <v>0</v>
      </c>
      <c r="G112" s="23">
        <f t="shared" si="7"/>
        <v>0</v>
      </c>
      <c r="H112" s="23">
        <f t="shared" si="7"/>
        <v>0</v>
      </c>
      <c r="I112" s="23"/>
      <c r="J112" s="25"/>
    </row>
    <row r="113" spans="1:11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6"/>
      <c r="I113" s="444"/>
      <c r="J113" s="38"/>
    </row>
    <row r="114" spans="1:11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444"/>
      <c r="J114" s="38"/>
    </row>
    <row r="115" spans="1:11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444"/>
      <c r="J115" s="38"/>
    </row>
    <row r="116" spans="1:11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444"/>
      <c r="J116" s="38"/>
    </row>
    <row r="117" spans="1:11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8">SUM(E115:E116)</f>
        <v>0</v>
      </c>
      <c r="F117" s="23">
        <f t="shared" si="8"/>
        <v>0</v>
      </c>
      <c r="G117" s="23">
        <f t="shared" si="8"/>
        <v>0</v>
      </c>
      <c r="H117" s="23">
        <f t="shared" si="8"/>
        <v>0</v>
      </c>
      <c r="I117" s="23"/>
      <c r="J117" s="25"/>
      <c r="K117" s="26"/>
    </row>
    <row r="118" spans="1:11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444"/>
      <c r="J118" s="38"/>
    </row>
    <row r="119" spans="1:11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444"/>
      <c r="J119" s="38"/>
    </row>
    <row r="120" spans="1:11" s="11" customFormat="1" x14ac:dyDescent="0.2">
      <c r="A120" s="22"/>
      <c r="B120" s="22"/>
      <c r="C120" s="62" t="s">
        <v>120</v>
      </c>
      <c r="D120" s="23">
        <f t="shared" ref="D120:H120" si="9">SUM(D118:D119)</f>
        <v>0</v>
      </c>
      <c r="E120" s="23">
        <f t="shared" si="9"/>
        <v>0</v>
      </c>
      <c r="F120" s="23">
        <f t="shared" si="9"/>
        <v>0</v>
      </c>
      <c r="G120" s="23">
        <f t="shared" si="9"/>
        <v>0</v>
      </c>
      <c r="H120" s="23">
        <f t="shared" si="9"/>
        <v>0</v>
      </c>
      <c r="I120" s="23"/>
      <c r="J120" s="25"/>
    </row>
    <row r="121" spans="1:11" s="11" customFormat="1" ht="17.25" customHeight="1" x14ac:dyDescent="0.2">
      <c r="A121" s="17"/>
      <c r="B121" s="17"/>
      <c r="C121" s="189" t="s">
        <v>19</v>
      </c>
      <c r="D121" s="190">
        <f t="shared" ref="D121:H121" si="10">SUM(D120,D117,D112,D107,D105,D67,D28)</f>
        <v>5813482.0099999998</v>
      </c>
      <c r="E121" s="190">
        <f t="shared" si="10"/>
        <v>2226535.67</v>
      </c>
      <c r="F121" s="190">
        <f t="shared" si="10"/>
        <v>2204234.1500000004</v>
      </c>
      <c r="G121" s="190">
        <f t="shared" si="10"/>
        <v>62000</v>
      </c>
      <c r="H121" s="190">
        <f t="shared" si="10"/>
        <v>1240712.19</v>
      </c>
      <c r="I121" s="190"/>
      <c r="J121" s="192"/>
      <c r="K121" s="26"/>
    </row>
    <row r="122" spans="1:11" x14ac:dyDescent="0.2">
      <c r="D122" s="108"/>
      <c r="E122" s="73"/>
      <c r="F122" s="73"/>
      <c r="G122" s="73"/>
      <c r="H122" s="73"/>
      <c r="I122" s="73"/>
    </row>
    <row r="123" spans="1:11" x14ac:dyDescent="0.2">
      <c r="D123" s="108"/>
      <c r="E123" s="73"/>
      <c r="F123" s="73"/>
      <c r="G123" s="73"/>
      <c r="H123" s="73"/>
      <c r="I123" s="73"/>
    </row>
    <row r="124" spans="1:11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124"/>
      <c r="J124" s="43" t="s">
        <v>133</v>
      </c>
    </row>
    <row r="125" spans="1:11" x14ac:dyDescent="0.2">
      <c r="B125" s="43"/>
      <c r="C125" s="122"/>
      <c r="D125" s="123"/>
      <c r="E125" s="124"/>
      <c r="F125" s="124"/>
      <c r="G125" s="124"/>
      <c r="H125" s="124"/>
      <c r="I125" s="124"/>
    </row>
    <row r="126" spans="1:11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124"/>
      <c r="J126" s="43" t="s">
        <v>143</v>
      </c>
    </row>
    <row r="127" spans="1:11" x14ac:dyDescent="0.2">
      <c r="D127" s="108"/>
      <c r="E127" s="73"/>
      <c r="F127" s="73"/>
      <c r="G127" s="73"/>
      <c r="H127" s="73"/>
      <c r="I127" s="73"/>
    </row>
    <row r="128" spans="1:11" x14ac:dyDescent="0.2">
      <c r="D128" s="108"/>
      <c r="E128" s="73"/>
      <c r="F128" s="73"/>
      <c r="G128" s="73"/>
      <c r="H128" s="73"/>
      <c r="I128" s="73"/>
    </row>
    <row r="129" spans="4:9" x14ac:dyDescent="0.2">
      <c r="D129" s="108"/>
      <c r="E129" s="73"/>
      <c r="F129" s="73"/>
      <c r="G129" s="73"/>
      <c r="H129" s="73"/>
      <c r="I129" s="73"/>
    </row>
    <row r="130" spans="4:9" x14ac:dyDescent="0.2">
      <c r="D130" s="108"/>
      <c r="E130" s="73"/>
      <c r="F130" s="73"/>
      <c r="G130" s="73"/>
      <c r="H130" s="73"/>
      <c r="I130" s="73"/>
    </row>
    <row r="131" spans="4:9" x14ac:dyDescent="0.2">
      <c r="D131" s="108"/>
      <c r="E131" s="73"/>
      <c r="F131" s="73"/>
      <c r="G131" s="115"/>
      <c r="H131" s="73"/>
      <c r="I131" s="73"/>
    </row>
    <row r="132" spans="4:9" x14ac:dyDescent="0.2">
      <c r="D132" s="108"/>
      <c r="E132" s="73"/>
      <c r="F132" s="73"/>
      <c r="G132" s="115"/>
      <c r="H132" s="73"/>
      <c r="I132" s="73"/>
    </row>
    <row r="133" spans="4:9" x14ac:dyDescent="0.2">
      <c r="D133" s="108"/>
      <c r="E133" s="73"/>
      <c r="F133" s="73"/>
      <c r="G133" s="73"/>
      <c r="H133" s="73"/>
      <c r="I133" s="73"/>
    </row>
    <row r="134" spans="4:9" x14ac:dyDescent="0.2">
      <c r="D134" s="108"/>
      <c r="E134" s="73"/>
      <c r="F134" s="73"/>
      <c r="G134" s="116"/>
      <c r="H134" s="73"/>
      <c r="I134" s="73"/>
    </row>
    <row r="135" spans="4:9" x14ac:dyDescent="0.2">
      <c r="D135" s="108"/>
      <c r="E135" s="73"/>
      <c r="F135" s="73"/>
      <c r="G135" s="116"/>
      <c r="H135" s="116"/>
      <c r="I135" s="116"/>
    </row>
    <row r="136" spans="4:9" x14ac:dyDescent="0.2">
      <c r="D136" s="108"/>
      <c r="E136" s="73"/>
      <c r="F136" s="73"/>
      <c r="G136" s="73"/>
      <c r="H136" s="73"/>
      <c r="I136" s="73"/>
    </row>
    <row r="137" spans="4:9" x14ac:dyDescent="0.2">
      <c r="D137" s="108"/>
      <c r="E137" s="73"/>
      <c r="F137" s="73"/>
      <c r="G137" s="73"/>
      <c r="H137" s="73"/>
      <c r="I137" s="73"/>
    </row>
    <row r="138" spans="4:9" x14ac:dyDescent="0.2">
      <c r="D138" s="108"/>
      <c r="E138" s="73"/>
      <c r="F138" s="73"/>
      <c r="G138" s="73"/>
      <c r="H138" s="73"/>
      <c r="I138" s="73"/>
    </row>
    <row r="139" spans="4:9" x14ac:dyDescent="0.2">
      <c r="D139" s="108"/>
      <c r="E139" s="73"/>
      <c r="F139" s="116"/>
      <c r="G139" s="73"/>
      <c r="H139" s="73"/>
      <c r="I139" s="73"/>
    </row>
    <row r="140" spans="4:9" x14ac:dyDescent="0.2">
      <c r="D140" s="108"/>
      <c r="E140" s="73"/>
      <c r="F140" s="73"/>
      <c r="G140" s="73"/>
      <c r="H140" s="73"/>
      <c r="I140" s="73"/>
    </row>
    <row r="141" spans="4:9" x14ac:dyDescent="0.2">
      <c r="D141" s="108"/>
      <c r="E141" s="73"/>
      <c r="F141" s="73"/>
      <c r="G141" s="73"/>
      <c r="H141" s="73"/>
      <c r="I141" s="73"/>
    </row>
    <row r="142" spans="4:9" x14ac:dyDescent="0.2">
      <c r="D142" s="108"/>
      <c r="E142" s="73"/>
      <c r="F142" s="73"/>
      <c r="G142" s="73"/>
      <c r="H142" s="73"/>
      <c r="I142" s="73"/>
    </row>
    <row r="143" spans="4:9" x14ac:dyDescent="0.2">
      <c r="D143" s="108"/>
      <c r="E143" s="73"/>
      <c r="F143" s="73"/>
      <c r="G143" s="73"/>
      <c r="H143" s="73"/>
      <c r="I143" s="73"/>
    </row>
    <row r="144" spans="4:9" x14ac:dyDescent="0.2">
      <c r="D144" s="108"/>
      <c r="E144" s="73"/>
      <c r="F144" s="73"/>
      <c r="G144" s="73"/>
      <c r="H144" s="73"/>
      <c r="I144" s="73"/>
    </row>
    <row r="145" spans="4:9" x14ac:dyDescent="0.2">
      <c r="D145" s="108"/>
      <c r="E145" s="73"/>
      <c r="F145" s="73"/>
      <c r="G145" s="73"/>
      <c r="H145" s="73"/>
      <c r="I145" s="73"/>
    </row>
    <row r="146" spans="4:9" x14ac:dyDescent="0.2">
      <c r="D146" s="108"/>
      <c r="E146" s="73"/>
      <c r="F146" s="73"/>
      <c r="G146" s="73"/>
      <c r="H146" s="73"/>
      <c r="I146" s="73"/>
    </row>
    <row r="147" spans="4:9" x14ac:dyDescent="0.2">
      <c r="D147" s="108"/>
      <c r="E147" s="73"/>
      <c r="F147" s="73"/>
      <c r="G147" s="73"/>
      <c r="H147" s="73"/>
      <c r="I147" s="73"/>
    </row>
    <row r="148" spans="4:9" x14ac:dyDescent="0.2">
      <c r="D148" s="108"/>
      <c r="E148" s="73"/>
      <c r="F148" s="73"/>
      <c r="G148" s="73"/>
      <c r="H148" s="73"/>
      <c r="I148" s="73"/>
    </row>
    <row r="149" spans="4:9" x14ac:dyDescent="0.2">
      <c r="D149" s="108"/>
      <c r="E149" s="73"/>
      <c r="F149" s="73"/>
      <c r="G149" s="73"/>
      <c r="H149" s="73"/>
      <c r="I149" s="73"/>
    </row>
    <row r="150" spans="4:9" x14ac:dyDescent="0.2">
      <c r="D150" s="108"/>
      <c r="E150" s="73"/>
      <c r="F150" s="73"/>
      <c r="G150" s="73"/>
      <c r="H150" s="73"/>
      <c r="I150" s="73"/>
    </row>
    <row r="151" spans="4:9" x14ac:dyDescent="0.2">
      <c r="D151" s="108"/>
      <c r="E151" s="73"/>
      <c r="F151" s="73"/>
      <c r="G151" s="73"/>
      <c r="H151" s="73"/>
      <c r="I151" s="73"/>
    </row>
    <row r="152" spans="4:9" x14ac:dyDescent="0.2">
      <c r="D152" s="108"/>
      <c r="E152" s="73"/>
      <c r="F152" s="73"/>
      <c r="G152" s="73"/>
      <c r="H152" s="73"/>
      <c r="I152" s="73"/>
    </row>
    <row r="153" spans="4:9" x14ac:dyDescent="0.2">
      <c r="D153" s="108"/>
      <c r="E153" s="73"/>
      <c r="F153" s="73"/>
      <c r="G153" s="73"/>
      <c r="H153" s="73"/>
      <c r="I153" s="73"/>
    </row>
    <row r="154" spans="4:9" x14ac:dyDescent="0.2">
      <c r="D154" s="108"/>
      <c r="E154" s="73"/>
      <c r="F154" s="73"/>
      <c r="G154" s="73"/>
      <c r="H154" s="73"/>
      <c r="I154" s="73"/>
    </row>
    <row r="155" spans="4:9" x14ac:dyDescent="0.2">
      <c r="D155" s="108"/>
      <c r="E155" s="73"/>
      <c r="F155" s="73"/>
      <c r="G155" s="73"/>
      <c r="H155" s="73"/>
      <c r="I155" s="73"/>
    </row>
    <row r="156" spans="4:9" x14ac:dyDescent="0.2">
      <c r="D156" s="108"/>
      <c r="E156" s="73"/>
      <c r="F156" s="73"/>
      <c r="G156" s="73"/>
      <c r="H156" s="73"/>
      <c r="I156" s="73"/>
    </row>
    <row r="157" spans="4:9" x14ac:dyDescent="0.2">
      <c r="D157" s="108"/>
      <c r="E157" s="73"/>
      <c r="F157" s="73"/>
      <c r="G157" s="73"/>
      <c r="H157" s="73"/>
      <c r="I157" s="73"/>
    </row>
    <row r="158" spans="4:9" x14ac:dyDescent="0.2">
      <c r="D158" s="108"/>
      <c r="E158" s="73"/>
      <c r="F158" s="73"/>
      <c r="G158" s="73"/>
      <c r="H158" s="73"/>
      <c r="I158" s="73"/>
    </row>
    <row r="159" spans="4:9" x14ac:dyDescent="0.2">
      <c r="D159" s="108"/>
      <c r="E159" s="73"/>
      <c r="F159" s="73"/>
      <c r="G159" s="73"/>
      <c r="H159" s="73"/>
      <c r="I159" s="73"/>
    </row>
    <row r="160" spans="4:9" x14ac:dyDescent="0.2">
      <c r="D160" s="108"/>
      <c r="E160" s="73"/>
      <c r="F160" s="73"/>
      <c r="G160" s="73"/>
      <c r="H160" s="73"/>
      <c r="I160" s="73"/>
    </row>
    <row r="161" spans="4:9" x14ac:dyDescent="0.2">
      <c r="D161" s="108"/>
      <c r="E161" s="73"/>
      <c r="F161" s="73"/>
      <c r="G161" s="73"/>
      <c r="H161" s="73"/>
      <c r="I161" s="73"/>
    </row>
    <row r="162" spans="4:9" x14ac:dyDescent="0.2">
      <c r="D162" s="108"/>
      <c r="E162" s="73"/>
      <c r="F162" s="73"/>
      <c r="G162" s="73"/>
      <c r="H162" s="73"/>
      <c r="I162" s="73"/>
    </row>
    <row r="163" spans="4:9" x14ac:dyDescent="0.2">
      <c r="D163" s="108"/>
      <c r="E163" s="73"/>
      <c r="F163" s="73"/>
      <c r="G163" s="73"/>
      <c r="H163" s="73"/>
      <c r="I163" s="73"/>
    </row>
    <row r="164" spans="4:9" x14ac:dyDescent="0.2">
      <c r="D164" s="108"/>
      <c r="E164" s="73"/>
      <c r="F164" s="73"/>
      <c r="G164" s="73"/>
      <c r="H164" s="73"/>
      <c r="I164" s="73"/>
    </row>
    <row r="165" spans="4:9" x14ac:dyDescent="0.2">
      <c r="D165" s="108"/>
      <c r="E165" s="73"/>
      <c r="F165" s="73"/>
      <c r="G165" s="73"/>
      <c r="H165" s="73"/>
      <c r="I165" s="73"/>
    </row>
    <row r="166" spans="4:9" x14ac:dyDescent="0.2">
      <c r="D166" s="108"/>
      <c r="E166" s="73"/>
      <c r="F166" s="73"/>
      <c r="G166" s="73"/>
      <c r="H166" s="73"/>
      <c r="I166" s="73"/>
    </row>
    <row r="167" spans="4:9" x14ac:dyDescent="0.2">
      <c r="D167" s="108"/>
      <c r="E167" s="73"/>
      <c r="F167" s="73"/>
      <c r="G167" s="73"/>
      <c r="H167" s="73"/>
      <c r="I167" s="73"/>
    </row>
    <row r="168" spans="4:9" x14ac:dyDescent="0.2">
      <c r="D168" s="108"/>
      <c r="E168" s="73"/>
      <c r="F168" s="73"/>
      <c r="G168" s="73"/>
      <c r="H168" s="73"/>
      <c r="I168" s="73"/>
    </row>
    <row r="169" spans="4:9" x14ac:dyDescent="0.2">
      <c r="D169" s="108"/>
      <c r="E169" s="73"/>
      <c r="F169" s="73"/>
      <c r="G169" s="73"/>
      <c r="H169" s="73"/>
      <c r="I169" s="73"/>
    </row>
    <row r="170" spans="4:9" x14ac:dyDescent="0.2">
      <c r="D170" s="108"/>
      <c r="E170" s="73"/>
      <c r="F170" s="73"/>
      <c r="G170" s="73"/>
      <c r="H170" s="73"/>
      <c r="I170" s="73"/>
    </row>
    <row r="171" spans="4:9" x14ac:dyDescent="0.2">
      <c r="D171" s="108"/>
      <c r="E171" s="73"/>
      <c r="F171" s="73"/>
      <c r="G171" s="73"/>
      <c r="H171" s="73"/>
      <c r="I171" s="73"/>
    </row>
    <row r="172" spans="4:9" x14ac:dyDescent="0.2">
      <c r="D172" s="108"/>
      <c r="E172" s="73"/>
      <c r="F172" s="73"/>
      <c r="G172" s="73"/>
      <c r="H172" s="73"/>
      <c r="I172" s="73"/>
    </row>
    <row r="173" spans="4:9" x14ac:dyDescent="0.2">
      <c r="D173" s="108"/>
      <c r="E173" s="73"/>
      <c r="F173" s="73"/>
      <c r="G173" s="73"/>
      <c r="H173" s="73"/>
      <c r="I173" s="73"/>
    </row>
    <row r="174" spans="4:9" x14ac:dyDescent="0.2">
      <c r="D174" s="108"/>
      <c r="E174" s="73"/>
      <c r="F174" s="73"/>
      <c r="G174" s="73"/>
      <c r="H174" s="73"/>
      <c r="I174" s="73"/>
    </row>
    <row r="175" spans="4:9" x14ac:dyDescent="0.2">
      <c r="D175" s="108"/>
      <c r="E175" s="73"/>
      <c r="F175" s="73"/>
      <c r="G175" s="73"/>
      <c r="H175" s="73"/>
      <c r="I175" s="73"/>
    </row>
    <row r="176" spans="4:9" x14ac:dyDescent="0.2">
      <c r="D176" s="108"/>
      <c r="E176" s="73"/>
      <c r="F176" s="73"/>
      <c r="G176" s="73"/>
      <c r="H176" s="73"/>
      <c r="I176" s="73"/>
    </row>
    <row r="177" spans="4:9" x14ac:dyDescent="0.2">
      <c r="D177" s="108"/>
      <c r="E177" s="73"/>
      <c r="F177" s="73"/>
      <c r="G177" s="73"/>
      <c r="H177" s="73"/>
      <c r="I177" s="73"/>
    </row>
    <row r="178" spans="4:9" x14ac:dyDescent="0.2">
      <c r="D178" s="108"/>
      <c r="E178" s="73"/>
      <c r="F178" s="73"/>
      <c r="G178" s="73"/>
      <c r="H178" s="73"/>
      <c r="I178" s="73"/>
    </row>
    <row r="179" spans="4:9" x14ac:dyDescent="0.2">
      <c r="D179" s="108"/>
      <c r="E179" s="73"/>
      <c r="F179" s="73"/>
      <c r="G179" s="73"/>
      <c r="H179" s="73"/>
      <c r="I179" s="73"/>
    </row>
    <row r="180" spans="4:9" x14ac:dyDescent="0.2">
      <c r="D180" s="108"/>
      <c r="E180" s="73"/>
      <c r="F180" s="73"/>
      <c r="G180" s="73"/>
      <c r="H180" s="73"/>
      <c r="I180" s="73"/>
    </row>
    <row r="181" spans="4:9" x14ac:dyDescent="0.2">
      <c r="D181" s="108"/>
      <c r="E181" s="73"/>
      <c r="F181" s="73"/>
      <c r="G181" s="73"/>
      <c r="H181" s="73"/>
      <c r="I181" s="73"/>
    </row>
    <row r="182" spans="4:9" x14ac:dyDescent="0.2">
      <c r="D182" s="108"/>
      <c r="E182" s="73"/>
      <c r="F182" s="73"/>
      <c r="G182" s="73"/>
      <c r="H182" s="73"/>
      <c r="I182" s="73"/>
    </row>
    <row r="183" spans="4:9" x14ac:dyDescent="0.2">
      <c r="D183" s="108"/>
      <c r="E183" s="73"/>
      <c r="F183" s="73"/>
      <c r="G183" s="73"/>
      <c r="H183" s="73"/>
      <c r="I183" s="73"/>
    </row>
    <row r="184" spans="4:9" x14ac:dyDescent="0.2">
      <c r="D184" s="108"/>
      <c r="E184" s="73"/>
      <c r="F184" s="73"/>
      <c r="G184" s="73"/>
      <c r="H184" s="73"/>
      <c r="I184" s="73"/>
    </row>
    <row r="185" spans="4:9" x14ac:dyDescent="0.2">
      <c r="D185" s="108"/>
      <c r="E185" s="73"/>
      <c r="F185" s="73"/>
      <c r="G185" s="73"/>
      <c r="H185" s="73"/>
      <c r="I185" s="73"/>
    </row>
    <row r="186" spans="4:9" x14ac:dyDescent="0.2">
      <c r="D186" s="108"/>
      <c r="E186" s="73"/>
      <c r="F186" s="73"/>
      <c r="G186" s="73"/>
      <c r="H186" s="73"/>
      <c r="I186" s="73"/>
    </row>
    <row r="187" spans="4:9" x14ac:dyDescent="0.2">
      <c r="D187" s="108"/>
      <c r="E187" s="73"/>
      <c r="F187" s="73"/>
      <c r="G187" s="73"/>
      <c r="H187" s="73"/>
      <c r="I187" s="73"/>
    </row>
    <row r="188" spans="4:9" x14ac:dyDescent="0.2">
      <c r="D188" s="108"/>
      <c r="E188" s="73"/>
      <c r="F188" s="73"/>
      <c r="G188" s="73"/>
      <c r="H188" s="73"/>
      <c r="I188" s="73"/>
    </row>
    <row r="189" spans="4:9" x14ac:dyDescent="0.2">
      <c r="D189" s="108"/>
      <c r="E189" s="73"/>
      <c r="F189" s="73"/>
      <c r="G189" s="73"/>
      <c r="H189" s="73"/>
      <c r="I189" s="73"/>
    </row>
    <row r="190" spans="4:9" x14ac:dyDescent="0.2">
      <c r="D190" s="108"/>
      <c r="E190" s="73"/>
      <c r="F190" s="73"/>
      <c r="G190" s="73"/>
      <c r="H190" s="73"/>
      <c r="I190" s="73"/>
    </row>
    <row r="191" spans="4:9" x14ac:dyDescent="0.2">
      <c r="D191" s="108"/>
      <c r="E191" s="73"/>
      <c r="F191" s="73"/>
      <c r="G191" s="73"/>
      <c r="H191" s="73"/>
      <c r="I191" s="73"/>
    </row>
    <row r="192" spans="4:9" x14ac:dyDescent="0.2">
      <c r="D192" s="108"/>
      <c r="E192" s="73"/>
      <c r="F192" s="73"/>
      <c r="G192" s="73"/>
      <c r="H192" s="73"/>
      <c r="I192" s="73"/>
    </row>
    <row r="193" spans="4:9" x14ac:dyDescent="0.2">
      <c r="D193" s="108"/>
      <c r="E193" s="73"/>
      <c r="F193" s="73"/>
      <c r="G193" s="73"/>
      <c r="H193" s="73"/>
      <c r="I193" s="73"/>
    </row>
    <row r="194" spans="4:9" x14ac:dyDescent="0.2">
      <c r="D194" s="108"/>
      <c r="E194" s="73"/>
      <c r="F194" s="73"/>
      <c r="G194" s="73"/>
      <c r="H194" s="73"/>
      <c r="I194" s="73"/>
    </row>
    <row r="195" spans="4:9" x14ac:dyDescent="0.2">
      <c r="D195" s="108"/>
      <c r="E195" s="73"/>
      <c r="F195" s="73"/>
      <c r="G195" s="73"/>
      <c r="H195" s="73"/>
      <c r="I195" s="73"/>
    </row>
    <row r="196" spans="4:9" x14ac:dyDescent="0.2">
      <c r="D196" s="108"/>
      <c r="E196" s="73"/>
      <c r="F196" s="73"/>
      <c r="G196" s="73"/>
      <c r="H196" s="73"/>
      <c r="I196" s="73"/>
    </row>
    <row r="197" spans="4:9" x14ac:dyDescent="0.2">
      <c r="D197" s="108"/>
      <c r="E197" s="73"/>
      <c r="F197" s="73"/>
      <c r="G197" s="73"/>
      <c r="H197" s="73"/>
      <c r="I197" s="73"/>
    </row>
    <row r="198" spans="4:9" x14ac:dyDescent="0.2">
      <c r="D198" s="108"/>
      <c r="E198" s="73"/>
      <c r="F198" s="73"/>
      <c r="G198" s="73"/>
      <c r="H198" s="73"/>
      <c r="I198" s="73"/>
    </row>
    <row r="199" spans="4:9" x14ac:dyDescent="0.2">
      <c r="D199" s="108"/>
      <c r="E199" s="73"/>
      <c r="F199" s="73"/>
      <c r="G199" s="73"/>
      <c r="H199" s="73"/>
      <c r="I199" s="73"/>
    </row>
    <row r="200" spans="4:9" x14ac:dyDescent="0.2">
      <c r="D200" s="108"/>
      <c r="E200" s="73"/>
      <c r="F200" s="73"/>
      <c r="G200" s="73"/>
      <c r="H200" s="73"/>
      <c r="I200" s="73"/>
    </row>
    <row r="201" spans="4:9" x14ac:dyDescent="0.2">
      <c r="D201" s="108"/>
      <c r="E201" s="73"/>
      <c r="F201" s="73"/>
      <c r="G201" s="73"/>
      <c r="H201" s="73"/>
      <c r="I201" s="73"/>
    </row>
    <row r="202" spans="4:9" x14ac:dyDescent="0.2">
      <c r="D202" s="108"/>
      <c r="E202" s="73"/>
      <c r="F202" s="73"/>
      <c r="G202" s="73"/>
      <c r="H202" s="73"/>
      <c r="I202" s="73"/>
    </row>
    <row r="203" spans="4:9" x14ac:dyDescent="0.2">
      <c r="D203" s="108"/>
      <c r="E203" s="73"/>
      <c r="F203" s="73"/>
      <c r="G203" s="73"/>
      <c r="H203" s="73"/>
      <c r="I203" s="73"/>
    </row>
    <row r="204" spans="4:9" x14ac:dyDescent="0.2">
      <c r="D204" s="108"/>
      <c r="E204" s="73"/>
      <c r="F204" s="73"/>
      <c r="G204" s="73"/>
      <c r="H204" s="73"/>
      <c r="I204" s="73"/>
    </row>
    <row r="205" spans="4:9" x14ac:dyDescent="0.2">
      <c r="D205" s="108"/>
      <c r="E205" s="73"/>
      <c r="F205" s="73"/>
      <c r="G205" s="73"/>
      <c r="H205" s="73"/>
      <c r="I205" s="73"/>
    </row>
    <row r="206" spans="4:9" x14ac:dyDescent="0.2">
      <c r="D206" s="108"/>
      <c r="E206" s="73"/>
      <c r="F206" s="73"/>
      <c r="G206" s="73"/>
      <c r="H206" s="73"/>
      <c r="I206" s="73"/>
    </row>
    <row r="207" spans="4:9" x14ac:dyDescent="0.2">
      <c r="D207" s="108"/>
      <c r="E207" s="73"/>
      <c r="F207" s="73"/>
      <c r="G207" s="73"/>
      <c r="H207" s="73"/>
      <c r="I207" s="73"/>
    </row>
    <row r="208" spans="4:9" x14ac:dyDescent="0.2">
      <c r="D208" s="108"/>
      <c r="E208" s="73"/>
      <c r="F208" s="73"/>
      <c r="G208" s="73"/>
      <c r="H208" s="73"/>
      <c r="I208" s="73"/>
    </row>
    <row r="209" spans="4:9" x14ac:dyDescent="0.2">
      <c r="D209" s="108"/>
      <c r="E209" s="73"/>
      <c r="F209" s="73"/>
      <c r="G209" s="73"/>
      <c r="H209" s="73"/>
      <c r="I209" s="73"/>
    </row>
    <row r="210" spans="4:9" x14ac:dyDescent="0.2">
      <c r="D210" s="108"/>
      <c r="E210" s="73"/>
      <c r="F210" s="73"/>
      <c r="G210" s="73"/>
      <c r="H210" s="73"/>
      <c r="I210" s="73"/>
    </row>
    <row r="211" spans="4:9" x14ac:dyDescent="0.2">
      <c r="D211" s="108"/>
      <c r="E211" s="73"/>
      <c r="F211" s="73"/>
      <c r="G211" s="73"/>
      <c r="H211" s="73"/>
      <c r="I211" s="73"/>
    </row>
    <row r="212" spans="4:9" x14ac:dyDescent="0.2">
      <c r="D212" s="108"/>
      <c r="E212" s="73"/>
      <c r="F212" s="73"/>
      <c r="G212" s="73"/>
      <c r="H212" s="73"/>
      <c r="I212" s="73"/>
    </row>
    <row r="213" spans="4:9" x14ac:dyDescent="0.2">
      <c r="D213" s="108"/>
      <c r="E213" s="73"/>
      <c r="F213" s="73"/>
      <c r="G213" s="73"/>
      <c r="H213" s="73"/>
      <c r="I213" s="73"/>
    </row>
    <row r="214" spans="4:9" x14ac:dyDescent="0.2">
      <c r="D214" s="108"/>
      <c r="E214" s="73"/>
      <c r="F214" s="73"/>
      <c r="G214" s="73"/>
      <c r="H214" s="73"/>
      <c r="I214" s="73"/>
    </row>
    <row r="215" spans="4:9" x14ac:dyDescent="0.2">
      <c r="D215" s="108"/>
      <c r="E215" s="73"/>
      <c r="F215" s="73"/>
      <c r="G215" s="73"/>
      <c r="H215" s="73"/>
      <c r="I215" s="73"/>
    </row>
    <row r="216" spans="4:9" x14ac:dyDescent="0.2">
      <c r="D216" s="108"/>
      <c r="E216" s="73"/>
      <c r="F216" s="73"/>
      <c r="G216" s="73"/>
      <c r="H216" s="73"/>
      <c r="I216" s="73"/>
    </row>
    <row r="217" spans="4:9" x14ac:dyDescent="0.2">
      <c r="D217" s="108"/>
      <c r="E217" s="73"/>
      <c r="F217" s="73"/>
      <c r="G217" s="73"/>
      <c r="H217" s="73"/>
      <c r="I217" s="73"/>
    </row>
    <row r="218" spans="4:9" x14ac:dyDescent="0.2">
      <c r="D218" s="108"/>
      <c r="E218" s="73"/>
      <c r="F218" s="73"/>
      <c r="G218" s="73"/>
      <c r="H218" s="73"/>
      <c r="I218" s="73"/>
    </row>
    <row r="219" spans="4:9" x14ac:dyDescent="0.2">
      <c r="D219" s="108"/>
      <c r="E219" s="73"/>
      <c r="F219" s="73"/>
      <c r="G219" s="73"/>
      <c r="H219" s="73"/>
      <c r="I219" s="73"/>
    </row>
    <row r="220" spans="4:9" x14ac:dyDescent="0.2">
      <c r="D220" s="108"/>
      <c r="E220" s="73"/>
      <c r="F220" s="73"/>
      <c r="G220" s="73"/>
      <c r="H220" s="73"/>
      <c r="I220" s="73"/>
    </row>
    <row r="221" spans="4:9" x14ac:dyDescent="0.2">
      <c r="D221" s="108"/>
      <c r="E221" s="73"/>
      <c r="F221" s="73"/>
      <c r="G221" s="73"/>
      <c r="H221" s="73"/>
      <c r="I221" s="73"/>
    </row>
    <row r="222" spans="4:9" x14ac:dyDescent="0.2">
      <c r="D222" s="108"/>
      <c r="E222" s="73"/>
      <c r="F222" s="73"/>
      <c r="G222" s="73"/>
      <c r="H222" s="73"/>
      <c r="I222" s="73"/>
    </row>
    <row r="223" spans="4:9" x14ac:dyDescent="0.2">
      <c r="D223" s="108"/>
      <c r="E223" s="73"/>
      <c r="F223" s="73"/>
      <c r="G223" s="73"/>
      <c r="H223" s="73"/>
      <c r="I223" s="73"/>
    </row>
    <row r="224" spans="4:9" x14ac:dyDescent="0.2">
      <c r="D224" s="108"/>
      <c r="E224" s="73"/>
      <c r="F224" s="73"/>
      <c r="G224" s="73"/>
      <c r="H224" s="73"/>
      <c r="I224" s="73"/>
    </row>
    <row r="225" spans="4:9" x14ac:dyDescent="0.2">
      <c r="D225" s="108"/>
      <c r="E225" s="73"/>
      <c r="F225" s="73"/>
      <c r="G225" s="73"/>
      <c r="H225" s="73"/>
      <c r="I225" s="73"/>
    </row>
    <row r="226" spans="4:9" x14ac:dyDescent="0.2">
      <c r="D226" s="108"/>
      <c r="E226" s="73"/>
      <c r="F226" s="73"/>
      <c r="G226" s="73"/>
      <c r="H226" s="73"/>
      <c r="I226" s="73"/>
    </row>
    <row r="227" spans="4:9" x14ac:dyDescent="0.2">
      <c r="D227" s="108"/>
      <c r="E227" s="73"/>
      <c r="F227" s="73"/>
      <c r="G227" s="73"/>
      <c r="H227" s="73"/>
      <c r="I227" s="73"/>
    </row>
    <row r="228" spans="4:9" x14ac:dyDescent="0.2">
      <c r="D228" s="108"/>
      <c r="E228" s="73"/>
      <c r="F228" s="73"/>
      <c r="G228" s="73"/>
      <c r="H228" s="73"/>
      <c r="I228" s="73"/>
    </row>
    <row r="229" spans="4:9" x14ac:dyDescent="0.2">
      <c r="D229" s="108"/>
      <c r="E229" s="73"/>
      <c r="F229" s="73"/>
      <c r="G229" s="73"/>
      <c r="H229" s="73"/>
      <c r="I229" s="73"/>
    </row>
    <row r="230" spans="4:9" x14ac:dyDescent="0.2">
      <c r="D230" s="108"/>
      <c r="E230" s="73"/>
      <c r="F230" s="73"/>
      <c r="G230" s="73"/>
      <c r="H230" s="73"/>
      <c r="I230" s="73"/>
    </row>
    <row r="231" spans="4:9" x14ac:dyDescent="0.2">
      <c r="D231" s="108"/>
      <c r="E231" s="73"/>
      <c r="F231" s="73"/>
      <c r="G231" s="73"/>
      <c r="H231" s="73"/>
      <c r="I231" s="73"/>
    </row>
    <row r="232" spans="4:9" x14ac:dyDescent="0.2">
      <c r="D232" s="108"/>
      <c r="E232" s="73"/>
      <c r="F232" s="73"/>
      <c r="G232" s="73"/>
      <c r="H232" s="73"/>
      <c r="I232" s="73"/>
    </row>
    <row r="233" spans="4:9" x14ac:dyDescent="0.2">
      <c r="D233" s="108"/>
      <c r="E233" s="73"/>
      <c r="F233" s="73"/>
      <c r="G233" s="73"/>
      <c r="H233" s="73"/>
      <c r="I233" s="73"/>
    </row>
    <row r="234" spans="4:9" x14ac:dyDescent="0.2">
      <c r="D234" s="108"/>
      <c r="E234" s="73"/>
      <c r="F234" s="73"/>
      <c r="G234" s="73"/>
      <c r="H234" s="73"/>
      <c r="I234" s="73"/>
    </row>
    <row r="235" spans="4:9" x14ac:dyDescent="0.2">
      <c r="D235" s="108"/>
      <c r="E235" s="73"/>
      <c r="F235" s="73"/>
      <c r="G235" s="73"/>
      <c r="H235" s="73"/>
      <c r="I235" s="73"/>
    </row>
    <row r="236" spans="4:9" x14ac:dyDescent="0.2">
      <c r="D236" s="108"/>
      <c r="E236" s="73"/>
      <c r="F236" s="73"/>
      <c r="G236" s="73"/>
      <c r="H236" s="73"/>
      <c r="I236" s="73"/>
    </row>
    <row r="237" spans="4:9" x14ac:dyDescent="0.2">
      <c r="D237" s="108"/>
      <c r="E237" s="73"/>
      <c r="F237" s="73"/>
      <c r="G237" s="73"/>
      <c r="H237" s="73"/>
      <c r="I237" s="73"/>
    </row>
    <row r="238" spans="4:9" x14ac:dyDescent="0.2">
      <c r="D238" s="108"/>
      <c r="E238" s="73"/>
      <c r="F238" s="73"/>
      <c r="G238" s="73"/>
      <c r="H238" s="73"/>
      <c r="I238" s="73"/>
    </row>
    <row r="239" spans="4:9" x14ac:dyDescent="0.2">
      <c r="D239" s="108"/>
      <c r="E239" s="73"/>
      <c r="F239" s="73"/>
      <c r="G239" s="73"/>
      <c r="H239" s="73"/>
      <c r="I239" s="73"/>
    </row>
    <row r="240" spans="4:9" x14ac:dyDescent="0.2">
      <c r="D240" s="108"/>
      <c r="E240" s="73"/>
      <c r="F240" s="73"/>
      <c r="G240" s="73"/>
      <c r="H240" s="73"/>
      <c r="I240" s="73"/>
    </row>
    <row r="241" spans="4:9" x14ac:dyDescent="0.2">
      <c r="D241" s="108"/>
      <c r="E241" s="73"/>
      <c r="F241" s="73"/>
      <c r="G241" s="73"/>
      <c r="H241" s="73"/>
      <c r="I241" s="73"/>
    </row>
    <row r="242" spans="4:9" x14ac:dyDescent="0.2">
      <c r="D242" s="108"/>
      <c r="E242" s="73"/>
      <c r="F242" s="73"/>
      <c r="G242" s="73"/>
      <c r="H242" s="73"/>
      <c r="I242" s="73"/>
    </row>
    <row r="243" spans="4:9" x14ac:dyDescent="0.2">
      <c r="D243" s="108"/>
      <c r="E243" s="73"/>
      <c r="F243" s="73"/>
      <c r="G243" s="73"/>
      <c r="H243" s="73"/>
      <c r="I243" s="73"/>
    </row>
    <row r="244" spans="4:9" x14ac:dyDescent="0.2">
      <c r="D244" s="108"/>
      <c r="E244" s="73"/>
      <c r="F244" s="73"/>
      <c r="G244" s="73"/>
      <c r="H244" s="73"/>
      <c r="I244" s="73"/>
    </row>
    <row r="245" spans="4:9" x14ac:dyDescent="0.2">
      <c r="D245" s="108"/>
      <c r="E245" s="73"/>
      <c r="F245" s="73"/>
      <c r="G245" s="73"/>
      <c r="H245" s="73"/>
      <c r="I245" s="73"/>
    </row>
    <row r="246" spans="4:9" x14ac:dyDescent="0.2">
      <c r="D246" s="108"/>
      <c r="E246" s="73"/>
      <c r="F246" s="73"/>
      <c r="G246" s="73"/>
      <c r="H246" s="73"/>
      <c r="I246" s="73"/>
    </row>
    <row r="247" spans="4:9" x14ac:dyDescent="0.2">
      <c r="D247" s="108"/>
      <c r="E247" s="73"/>
      <c r="F247" s="73"/>
      <c r="G247" s="73"/>
      <c r="H247" s="73"/>
      <c r="I247" s="73"/>
    </row>
    <row r="248" spans="4:9" x14ac:dyDescent="0.2">
      <c r="D248" s="108"/>
      <c r="E248" s="73"/>
      <c r="F248" s="73"/>
      <c r="G248" s="73"/>
      <c r="H248" s="73"/>
      <c r="I248" s="73"/>
    </row>
    <row r="249" spans="4:9" x14ac:dyDescent="0.2">
      <c r="D249" s="108"/>
      <c r="E249" s="73"/>
      <c r="F249" s="73"/>
      <c r="G249" s="73"/>
      <c r="H249" s="73"/>
      <c r="I249" s="73"/>
    </row>
    <row r="250" spans="4:9" x14ac:dyDescent="0.2">
      <c r="D250" s="108"/>
      <c r="E250" s="73"/>
      <c r="F250" s="73"/>
      <c r="G250" s="73"/>
      <c r="H250" s="73"/>
      <c r="I250" s="73"/>
    </row>
    <row r="251" spans="4:9" x14ac:dyDescent="0.2">
      <c r="D251" s="108"/>
      <c r="E251" s="73"/>
      <c r="F251" s="73"/>
      <c r="G251" s="73"/>
      <c r="H251" s="73"/>
      <c r="I251" s="73"/>
    </row>
    <row r="252" spans="4:9" x14ac:dyDescent="0.2">
      <c r="D252" s="108"/>
      <c r="E252" s="73"/>
      <c r="F252" s="73"/>
      <c r="G252" s="73"/>
      <c r="H252" s="73"/>
      <c r="I252" s="73"/>
    </row>
    <row r="253" spans="4:9" x14ac:dyDescent="0.2">
      <c r="D253" s="108"/>
      <c r="E253" s="73"/>
      <c r="F253" s="73"/>
      <c r="G253" s="73"/>
      <c r="H253" s="73"/>
      <c r="I253" s="73"/>
    </row>
    <row r="254" spans="4:9" x14ac:dyDescent="0.2">
      <c r="D254" s="108"/>
      <c r="E254" s="73"/>
      <c r="F254" s="73"/>
      <c r="G254" s="73"/>
      <c r="H254" s="73"/>
      <c r="I254" s="73"/>
    </row>
    <row r="255" spans="4:9" x14ac:dyDescent="0.2">
      <c r="D255" s="108"/>
      <c r="E255" s="73"/>
      <c r="F255" s="73"/>
      <c r="G255" s="73"/>
      <c r="H255" s="73"/>
      <c r="I255" s="73"/>
    </row>
    <row r="256" spans="4:9" x14ac:dyDescent="0.2">
      <c r="D256" s="108"/>
      <c r="E256" s="73"/>
      <c r="F256" s="73"/>
      <c r="G256" s="73"/>
      <c r="H256" s="73"/>
      <c r="I256" s="73"/>
    </row>
    <row r="257" spans="4:9" x14ac:dyDescent="0.2">
      <c r="D257" s="108"/>
      <c r="E257" s="73"/>
      <c r="F257" s="73"/>
      <c r="G257" s="73"/>
      <c r="H257" s="73"/>
      <c r="I257" s="73"/>
    </row>
    <row r="258" spans="4:9" x14ac:dyDescent="0.2">
      <c r="D258" s="108"/>
      <c r="E258" s="73"/>
      <c r="F258" s="73"/>
      <c r="G258" s="73"/>
      <c r="H258" s="73"/>
      <c r="I258" s="73"/>
    </row>
    <row r="259" spans="4:9" x14ac:dyDescent="0.2">
      <c r="D259" s="108"/>
      <c r="E259" s="73"/>
      <c r="F259" s="73"/>
      <c r="G259" s="73"/>
      <c r="H259" s="73"/>
      <c r="I259" s="73"/>
    </row>
    <row r="260" spans="4:9" x14ac:dyDescent="0.2">
      <c r="D260" s="108"/>
      <c r="E260" s="73"/>
      <c r="F260" s="73"/>
      <c r="G260" s="73"/>
      <c r="H260" s="73"/>
      <c r="I260" s="73"/>
    </row>
    <row r="261" spans="4:9" x14ac:dyDescent="0.2">
      <c r="D261" s="108"/>
      <c r="E261" s="73"/>
      <c r="F261" s="73"/>
      <c r="G261" s="73"/>
      <c r="H261" s="73"/>
      <c r="I261" s="73"/>
    </row>
    <row r="262" spans="4:9" x14ac:dyDescent="0.2">
      <c r="D262" s="108"/>
      <c r="E262" s="73"/>
      <c r="F262" s="73"/>
      <c r="G262" s="73"/>
      <c r="H262" s="73"/>
      <c r="I262" s="73"/>
    </row>
    <row r="263" spans="4:9" x14ac:dyDescent="0.2">
      <c r="D263" s="108"/>
      <c r="E263" s="73"/>
      <c r="F263" s="73"/>
      <c r="G263" s="73"/>
      <c r="H263" s="73"/>
      <c r="I263" s="73"/>
    </row>
    <row r="264" spans="4:9" x14ac:dyDescent="0.2">
      <c r="D264" s="108"/>
      <c r="E264" s="73"/>
      <c r="F264" s="73"/>
      <c r="G264" s="73"/>
      <c r="H264" s="73"/>
      <c r="I264" s="73"/>
    </row>
    <row r="265" spans="4:9" x14ac:dyDescent="0.2">
      <c r="D265" s="108"/>
      <c r="E265" s="73"/>
      <c r="F265" s="73"/>
      <c r="G265" s="73"/>
      <c r="H265" s="73"/>
      <c r="I265" s="73"/>
    </row>
    <row r="266" spans="4:9" x14ac:dyDescent="0.2">
      <c r="D266" s="108"/>
      <c r="E266" s="73"/>
      <c r="F266" s="73"/>
      <c r="G266" s="73"/>
      <c r="H266" s="73"/>
      <c r="I266" s="73"/>
    </row>
    <row r="267" spans="4:9" x14ac:dyDescent="0.2">
      <c r="D267" s="108"/>
      <c r="E267" s="73"/>
      <c r="F267" s="73"/>
      <c r="G267" s="73"/>
      <c r="H267" s="73"/>
      <c r="I267" s="73"/>
    </row>
    <row r="268" spans="4:9" x14ac:dyDescent="0.2">
      <c r="D268" s="108"/>
      <c r="E268" s="73"/>
      <c r="F268" s="73"/>
      <c r="G268" s="73"/>
      <c r="H268" s="73"/>
      <c r="I268" s="73"/>
    </row>
    <row r="269" spans="4:9" x14ac:dyDescent="0.2">
      <c r="D269" s="108"/>
      <c r="E269" s="73"/>
      <c r="F269" s="73"/>
      <c r="G269" s="73"/>
      <c r="H269" s="73"/>
      <c r="I269" s="73"/>
    </row>
    <row r="270" spans="4:9" x14ac:dyDescent="0.2">
      <c r="D270" s="108"/>
      <c r="E270" s="73"/>
      <c r="F270" s="73"/>
      <c r="G270" s="73"/>
      <c r="H270" s="73"/>
      <c r="I270" s="73"/>
    </row>
    <row r="271" spans="4:9" x14ac:dyDescent="0.2">
      <c r="D271" s="108"/>
      <c r="E271" s="73"/>
      <c r="F271" s="73"/>
      <c r="G271" s="73"/>
      <c r="H271" s="73"/>
      <c r="I271" s="73"/>
    </row>
    <row r="272" spans="4:9" x14ac:dyDescent="0.2">
      <c r="D272" s="108"/>
      <c r="E272" s="73"/>
      <c r="F272" s="73"/>
      <c r="G272" s="73"/>
      <c r="H272" s="73"/>
      <c r="I272" s="73"/>
    </row>
    <row r="273" spans="4:9" x14ac:dyDescent="0.2">
      <c r="D273" s="108"/>
      <c r="E273" s="73"/>
      <c r="F273" s="73"/>
      <c r="G273" s="73"/>
      <c r="H273" s="73"/>
      <c r="I273" s="73"/>
    </row>
    <row r="274" spans="4:9" x14ac:dyDescent="0.2">
      <c r="D274" s="108"/>
      <c r="E274" s="73"/>
      <c r="F274" s="73"/>
      <c r="G274" s="73"/>
      <c r="H274" s="73"/>
      <c r="I274" s="73"/>
    </row>
    <row r="275" spans="4:9" x14ac:dyDescent="0.2">
      <c r="D275" s="108"/>
      <c r="E275" s="73"/>
      <c r="F275" s="73"/>
      <c r="G275" s="73"/>
      <c r="H275" s="73"/>
      <c r="I275" s="73"/>
    </row>
    <row r="276" spans="4:9" x14ac:dyDescent="0.2">
      <c r="D276" s="108"/>
      <c r="E276" s="73"/>
      <c r="F276" s="73"/>
      <c r="G276" s="73"/>
      <c r="H276" s="73"/>
      <c r="I276" s="73"/>
    </row>
    <row r="277" spans="4:9" x14ac:dyDescent="0.2">
      <c r="D277" s="108"/>
      <c r="E277" s="73"/>
      <c r="F277" s="73"/>
      <c r="G277" s="73"/>
      <c r="H277" s="73"/>
      <c r="I277" s="73"/>
    </row>
    <row r="278" spans="4:9" x14ac:dyDescent="0.2">
      <c r="D278" s="108"/>
      <c r="E278" s="73"/>
      <c r="F278" s="73"/>
      <c r="G278" s="73"/>
      <c r="H278" s="73"/>
      <c r="I278" s="73"/>
    </row>
    <row r="279" spans="4:9" x14ac:dyDescent="0.2">
      <c r="D279" s="108"/>
      <c r="E279" s="73"/>
      <c r="F279" s="73"/>
      <c r="G279" s="73"/>
      <c r="H279" s="73"/>
      <c r="I279" s="73"/>
    </row>
    <row r="280" spans="4:9" x14ac:dyDescent="0.2">
      <c r="D280" s="108"/>
      <c r="E280" s="73"/>
      <c r="F280" s="73"/>
      <c r="G280" s="73"/>
      <c r="H280" s="73"/>
      <c r="I280" s="73"/>
    </row>
    <row r="281" spans="4:9" x14ac:dyDescent="0.2">
      <c r="D281" s="108"/>
      <c r="E281" s="73"/>
      <c r="F281" s="73"/>
      <c r="G281" s="73"/>
      <c r="H281" s="73"/>
      <c r="I281" s="73"/>
    </row>
    <row r="282" spans="4:9" x14ac:dyDescent="0.2">
      <c r="D282" s="108"/>
      <c r="E282" s="73"/>
      <c r="F282" s="73"/>
      <c r="G282" s="73"/>
      <c r="H282" s="73"/>
      <c r="I282" s="73"/>
    </row>
    <row r="283" spans="4:9" x14ac:dyDescent="0.2">
      <c r="D283" s="108"/>
      <c r="E283" s="73"/>
      <c r="F283" s="73"/>
      <c r="G283" s="73"/>
      <c r="H283" s="73"/>
      <c r="I283" s="73"/>
    </row>
    <row r="284" spans="4:9" x14ac:dyDescent="0.2">
      <c r="D284" s="108"/>
      <c r="E284" s="73"/>
      <c r="F284" s="73"/>
      <c r="G284" s="73"/>
      <c r="H284" s="73"/>
      <c r="I284" s="73"/>
    </row>
    <row r="285" spans="4:9" x14ac:dyDescent="0.2">
      <c r="D285" s="108"/>
      <c r="E285" s="73"/>
      <c r="F285" s="73"/>
      <c r="G285" s="73"/>
      <c r="H285" s="73"/>
      <c r="I285" s="73"/>
    </row>
    <row r="286" spans="4:9" x14ac:dyDescent="0.2">
      <c r="D286" s="108"/>
      <c r="E286" s="73"/>
      <c r="F286" s="73"/>
      <c r="G286" s="73"/>
      <c r="H286" s="73"/>
      <c r="I286" s="73"/>
    </row>
    <row r="287" spans="4:9" x14ac:dyDescent="0.2">
      <c r="D287" s="108"/>
      <c r="E287" s="73"/>
      <c r="F287" s="73"/>
      <c r="G287" s="73"/>
      <c r="H287" s="73"/>
      <c r="I287" s="73"/>
    </row>
    <row r="288" spans="4:9" x14ac:dyDescent="0.2">
      <c r="D288" s="108"/>
      <c r="E288" s="73"/>
      <c r="F288" s="73"/>
      <c r="G288" s="73"/>
      <c r="H288" s="73"/>
      <c r="I288" s="73"/>
    </row>
    <row r="289" spans="4:9" x14ac:dyDescent="0.2">
      <c r="D289" s="108"/>
      <c r="E289" s="73"/>
      <c r="F289" s="73"/>
      <c r="G289" s="73"/>
      <c r="H289" s="73"/>
      <c r="I289" s="73"/>
    </row>
    <row r="290" spans="4:9" x14ac:dyDescent="0.2">
      <c r="D290" s="108"/>
      <c r="E290" s="73"/>
      <c r="F290" s="73"/>
      <c r="G290" s="73"/>
      <c r="H290" s="73"/>
      <c r="I290" s="73"/>
    </row>
    <row r="291" spans="4:9" x14ac:dyDescent="0.2">
      <c r="D291" s="108"/>
      <c r="E291" s="73"/>
      <c r="F291" s="73"/>
      <c r="G291" s="73"/>
      <c r="H291" s="73"/>
      <c r="I291" s="73"/>
    </row>
    <row r="292" spans="4:9" x14ac:dyDescent="0.2">
      <c r="D292" s="108"/>
      <c r="E292" s="73"/>
      <c r="F292" s="73"/>
      <c r="G292" s="73"/>
      <c r="H292" s="73"/>
      <c r="I292" s="73"/>
    </row>
    <row r="293" spans="4:9" x14ac:dyDescent="0.2">
      <c r="D293" s="108"/>
      <c r="E293" s="73"/>
      <c r="F293" s="73"/>
      <c r="G293" s="73"/>
      <c r="H293" s="73"/>
      <c r="I293" s="73"/>
    </row>
    <row r="294" spans="4:9" x14ac:dyDescent="0.2">
      <c r="D294" s="108"/>
      <c r="E294" s="73"/>
      <c r="F294" s="73"/>
      <c r="G294" s="73"/>
      <c r="H294" s="73"/>
      <c r="I294" s="73"/>
    </row>
    <row r="295" spans="4:9" x14ac:dyDescent="0.2">
      <c r="D295" s="108"/>
      <c r="E295" s="73"/>
      <c r="F295" s="73"/>
      <c r="G295" s="73"/>
      <c r="H295" s="73"/>
      <c r="I295" s="73"/>
    </row>
    <row r="296" spans="4:9" x14ac:dyDescent="0.2">
      <c r="D296" s="108"/>
      <c r="E296" s="73"/>
      <c r="F296" s="73"/>
      <c r="G296" s="73"/>
      <c r="H296" s="73"/>
      <c r="I296" s="73"/>
    </row>
    <row r="297" spans="4:9" x14ac:dyDescent="0.2">
      <c r="D297" s="108"/>
      <c r="E297" s="73"/>
      <c r="F297" s="73"/>
      <c r="G297" s="73"/>
      <c r="H297" s="73"/>
      <c r="I297" s="73"/>
    </row>
    <row r="298" spans="4:9" x14ac:dyDescent="0.2">
      <c r="D298" s="108"/>
      <c r="E298" s="73"/>
      <c r="F298" s="73"/>
      <c r="G298" s="73"/>
      <c r="H298" s="73"/>
      <c r="I298" s="73"/>
    </row>
    <row r="299" spans="4:9" x14ac:dyDescent="0.2">
      <c r="D299" s="108"/>
      <c r="E299" s="73"/>
      <c r="F299" s="73"/>
      <c r="G299" s="73"/>
      <c r="H299" s="73"/>
      <c r="I299" s="73"/>
    </row>
    <row r="300" spans="4:9" x14ac:dyDescent="0.2">
      <c r="D300" s="108"/>
      <c r="E300" s="73"/>
      <c r="F300" s="73"/>
      <c r="G300" s="73"/>
      <c r="H300" s="73"/>
      <c r="I300" s="73"/>
    </row>
    <row r="301" spans="4:9" x14ac:dyDescent="0.2">
      <c r="D301" s="108"/>
      <c r="E301" s="73"/>
      <c r="F301" s="73"/>
      <c r="G301" s="73"/>
      <c r="H301" s="73"/>
      <c r="I301" s="73"/>
    </row>
    <row r="302" spans="4:9" x14ac:dyDescent="0.2">
      <c r="D302" s="108"/>
      <c r="E302" s="73"/>
      <c r="F302" s="73"/>
      <c r="G302" s="73"/>
      <c r="H302" s="73"/>
      <c r="I302" s="73"/>
    </row>
    <row r="303" spans="4:9" x14ac:dyDescent="0.2">
      <c r="D303" s="108"/>
      <c r="E303" s="73"/>
      <c r="F303" s="73"/>
      <c r="G303" s="73"/>
      <c r="H303" s="73"/>
      <c r="I303" s="73"/>
    </row>
    <row r="304" spans="4:9" x14ac:dyDescent="0.2">
      <c r="D304" s="108"/>
      <c r="E304" s="73"/>
      <c r="F304" s="73"/>
      <c r="G304" s="73"/>
      <c r="H304" s="73"/>
      <c r="I304" s="73"/>
    </row>
    <row r="305" spans="4:9" x14ac:dyDescent="0.2">
      <c r="D305" s="108"/>
      <c r="E305" s="73"/>
      <c r="F305" s="73"/>
      <c r="G305" s="73"/>
      <c r="H305" s="73"/>
      <c r="I305" s="73"/>
    </row>
    <row r="306" spans="4:9" x14ac:dyDescent="0.2">
      <c r="D306" s="108"/>
      <c r="E306" s="73"/>
      <c r="F306" s="73"/>
      <c r="G306" s="73"/>
      <c r="H306" s="73"/>
      <c r="I306" s="73"/>
    </row>
    <row r="307" spans="4:9" x14ac:dyDescent="0.2">
      <c r="D307" s="108"/>
      <c r="E307" s="73"/>
      <c r="F307" s="73"/>
      <c r="G307" s="73"/>
      <c r="H307" s="73"/>
      <c r="I307" s="73"/>
    </row>
    <row r="308" spans="4:9" x14ac:dyDescent="0.2">
      <c r="D308" s="108"/>
      <c r="E308" s="73"/>
      <c r="F308" s="73"/>
      <c r="G308" s="73"/>
      <c r="H308" s="73"/>
      <c r="I308" s="73"/>
    </row>
    <row r="309" spans="4:9" x14ac:dyDescent="0.2">
      <c r="D309" s="108"/>
      <c r="E309" s="73"/>
      <c r="F309" s="73"/>
      <c r="G309" s="73"/>
      <c r="H309" s="73"/>
      <c r="I309" s="73"/>
    </row>
    <row r="310" spans="4:9" x14ac:dyDescent="0.2">
      <c r="D310" s="108"/>
      <c r="E310" s="73"/>
      <c r="F310" s="73"/>
      <c r="G310" s="73"/>
      <c r="H310" s="73"/>
      <c r="I310" s="73"/>
    </row>
    <row r="311" spans="4:9" x14ac:dyDescent="0.2">
      <c r="D311" s="108"/>
      <c r="E311" s="73"/>
      <c r="F311" s="73"/>
      <c r="G311" s="73"/>
      <c r="H311" s="73"/>
      <c r="I311" s="73"/>
    </row>
    <row r="312" spans="4:9" x14ac:dyDescent="0.2">
      <c r="D312" s="108"/>
      <c r="E312" s="73"/>
      <c r="F312" s="73"/>
      <c r="G312" s="73"/>
      <c r="H312" s="73"/>
      <c r="I312" s="73"/>
    </row>
    <row r="313" spans="4:9" x14ac:dyDescent="0.2">
      <c r="D313" s="108"/>
      <c r="E313" s="73"/>
      <c r="F313" s="73"/>
      <c r="G313" s="73"/>
      <c r="H313" s="73"/>
      <c r="I313" s="73"/>
    </row>
    <row r="314" spans="4:9" x14ac:dyDescent="0.2">
      <c r="D314" s="108"/>
      <c r="E314" s="73"/>
      <c r="F314" s="73"/>
      <c r="G314" s="73"/>
      <c r="H314" s="73"/>
      <c r="I314" s="73"/>
    </row>
    <row r="315" spans="4:9" x14ac:dyDescent="0.2">
      <c r="D315" s="108"/>
      <c r="E315" s="73"/>
      <c r="F315" s="73"/>
      <c r="G315" s="73"/>
      <c r="H315" s="73"/>
      <c r="I315" s="73"/>
    </row>
    <row r="316" spans="4:9" x14ac:dyDescent="0.2">
      <c r="D316" s="108"/>
      <c r="E316" s="73"/>
      <c r="F316" s="73"/>
      <c r="G316" s="73"/>
      <c r="H316" s="73"/>
      <c r="I316" s="73"/>
    </row>
    <row r="317" spans="4:9" x14ac:dyDescent="0.2">
      <c r="D317" s="108"/>
      <c r="E317" s="73"/>
      <c r="F317" s="73"/>
      <c r="G317" s="73"/>
      <c r="H317" s="73"/>
      <c r="I317" s="73"/>
    </row>
    <row r="318" spans="4:9" x14ac:dyDescent="0.2">
      <c r="D318" s="108"/>
      <c r="E318" s="73"/>
      <c r="F318" s="73"/>
      <c r="G318" s="73"/>
      <c r="H318" s="73"/>
      <c r="I318" s="73"/>
    </row>
    <row r="319" spans="4:9" x14ac:dyDescent="0.2">
      <c r="D319" s="108"/>
      <c r="E319" s="73"/>
      <c r="F319" s="73"/>
      <c r="G319" s="73"/>
      <c r="H319" s="73"/>
      <c r="I319" s="73"/>
    </row>
    <row r="320" spans="4:9" x14ac:dyDescent="0.2">
      <c r="D320" s="108"/>
      <c r="E320" s="73"/>
      <c r="F320" s="73"/>
      <c r="G320" s="73"/>
      <c r="H320" s="73"/>
      <c r="I320" s="73"/>
    </row>
    <row r="321" spans="4:9" x14ac:dyDescent="0.2">
      <c r="D321" s="108"/>
      <c r="E321" s="73"/>
      <c r="F321" s="73"/>
      <c r="G321" s="73"/>
      <c r="H321" s="73"/>
      <c r="I321" s="73"/>
    </row>
    <row r="322" spans="4:9" x14ac:dyDescent="0.2">
      <c r="D322" s="108"/>
      <c r="E322" s="73"/>
      <c r="F322" s="73"/>
      <c r="G322" s="73"/>
      <c r="H322" s="73"/>
      <c r="I322" s="73"/>
    </row>
    <row r="323" spans="4:9" x14ac:dyDescent="0.2">
      <c r="D323" s="108"/>
      <c r="E323" s="73"/>
      <c r="F323" s="73"/>
      <c r="G323" s="73"/>
      <c r="H323" s="73"/>
      <c r="I323" s="73"/>
    </row>
    <row r="324" spans="4:9" x14ac:dyDescent="0.2">
      <c r="D324" s="108"/>
      <c r="E324" s="73"/>
      <c r="F324" s="73"/>
      <c r="G324" s="73"/>
      <c r="H324" s="73"/>
      <c r="I324" s="73"/>
    </row>
    <row r="325" spans="4:9" x14ac:dyDescent="0.2">
      <c r="D325" s="108"/>
      <c r="E325" s="73"/>
      <c r="F325" s="73"/>
      <c r="G325" s="73"/>
      <c r="H325" s="73"/>
      <c r="I325" s="73"/>
    </row>
    <row r="326" spans="4:9" x14ac:dyDescent="0.2">
      <c r="D326" s="108"/>
      <c r="E326" s="73"/>
      <c r="F326" s="73"/>
      <c r="G326" s="73"/>
      <c r="H326" s="73"/>
      <c r="I326" s="73"/>
    </row>
    <row r="327" spans="4:9" x14ac:dyDescent="0.2">
      <c r="D327" s="108"/>
      <c r="E327" s="73"/>
      <c r="F327" s="73"/>
      <c r="G327" s="73"/>
      <c r="H327" s="73"/>
      <c r="I327" s="73"/>
    </row>
    <row r="328" spans="4:9" x14ac:dyDescent="0.2">
      <c r="D328" s="108"/>
      <c r="E328" s="73"/>
      <c r="F328" s="73"/>
      <c r="G328" s="73"/>
      <c r="H328" s="73"/>
      <c r="I328" s="73"/>
    </row>
    <row r="329" spans="4:9" x14ac:dyDescent="0.2">
      <c r="D329" s="108"/>
      <c r="E329" s="73"/>
      <c r="F329" s="73"/>
      <c r="G329" s="73"/>
      <c r="H329" s="73"/>
      <c r="I329" s="73"/>
    </row>
    <row r="330" spans="4:9" x14ac:dyDescent="0.2">
      <c r="D330" s="108"/>
      <c r="E330" s="73"/>
      <c r="F330" s="73"/>
      <c r="G330" s="73"/>
      <c r="H330" s="73"/>
      <c r="I330" s="73"/>
    </row>
    <row r="331" spans="4:9" x14ac:dyDescent="0.2">
      <c r="D331" s="108"/>
      <c r="E331" s="73"/>
      <c r="F331" s="73"/>
      <c r="G331" s="73"/>
      <c r="H331" s="73"/>
      <c r="I331" s="73"/>
    </row>
    <row r="332" spans="4:9" x14ac:dyDescent="0.2">
      <c r="D332" s="108"/>
      <c r="E332" s="73"/>
      <c r="F332" s="73"/>
      <c r="G332" s="73"/>
      <c r="H332" s="73"/>
      <c r="I332" s="73"/>
    </row>
    <row r="333" spans="4:9" x14ac:dyDescent="0.2">
      <c r="D333" s="108"/>
      <c r="E333" s="73"/>
      <c r="F333" s="73"/>
      <c r="G333" s="73"/>
      <c r="H333" s="73"/>
      <c r="I333" s="73"/>
    </row>
    <row r="334" spans="4:9" x14ac:dyDescent="0.2">
      <c r="D334" s="108"/>
      <c r="E334" s="73"/>
      <c r="F334" s="73"/>
      <c r="G334" s="73"/>
      <c r="H334" s="73"/>
      <c r="I334" s="73"/>
    </row>
    <row r="335" spans="4:9" x14ac:dyDescent="0.2">
      <c r="D335" s="108"/>
      <c r="E335" s="73"/>
      <c r="F335" s="73"/>
      <c r="G335" s="73"/>
      <c r="H335" s="73"/>
      <c r="I335" s="73"/>
    </row>
    <row r="336" spans="4:9" x14ac:dyDescent="0.2">
      <c r="D336" s="108"/>
      <c r="E336" s="73"/>
      <c r="F336" s="73"/>
      <c r="G336" s="73"/>
      <c r="H336" s="73"/>
      <c r="I336" s="73"/>
    </row>
    <row r="337" spans="4:9" x14ac:dyDescent="0.2">
      <c r="D337" s="108"/>
      <c r="E337" s="73"/>
      <c r="F337" s="73"/>
      <c r="G337" s="73"/>
      <c r="H337" s="73"/>
      <c r="I337" s="73"/>
    </row>
    <row r="338" spans="4:9" x14ac:dyDescent="0.2">
      <c r="D338" s="108"/>
      <c r="E338" s="73"/>
      <c r="F338" s="73"/>
      <c r="G338" s="73"/>
      <c r="H338" s="73"/>
      <c r="I338" s="73"/>
    </row>
    <row r="339" spans="4:9" x14ac:dyDescent="0.2">
      <c r="D339" s="108"/>
      <c r="E339" s="73"/>
      <c r="F339" s="73"/>
      <c r="G339" s="73"/>
      <c r="H339" s="73"/>
      <c r="I339" s="73"/>
    </row>
    <row r="340" spans="4:9" x14ac:dyDescent="0.2">
      <c r="D340" s="108"/>
      <c r="E340" s="73"/>
      <c r="F340" s="73"/>
      <c r="G340" s="73"/>
      <c r="H340" s="73"/>
      <c r="I340" s="73"/>
    </row>
    <row r="341" spans="4:9" x14ac:dyDescent="0.2">
      <c r="D341" s="108"/>
      <c r="E341" s="73"/>
      <c r="F341" s="73"/>
      <c r="G341" s="73"/>
      <c r="H341" s="73"/>
      <c r="I341" s="73"/>
    </row>
    <row r="342" spans="4:9" x14ac:dyDescent="0.2">
      <c r="D342" s="108"/>
      <c r="E342" s="73"/>
      <c r="F342" s="73"/>
      <c r="G342" s="73"/>
      <c r="H342" s="73"/>
      <c r="I342" s="73"/>
    </row>
    <row r="343" spans="4:9" x14ac:dyDescent="0.2">
      <c r="D343" s="108"/>
      <c r="E343" s="73"/>
      <c r="F343" s="73"/>
      <c r="G343" s="73"/>
      <c r="H343" s="73"/>
      <c r="I343" s="73"/>
    </row>
    <row r="344" spans="4:9" x14ac:dyDescent="0.2">
      <c r="D344" s="108"/>
      <c r="E344" s="73"/>
      <c r="F344" s="73"/>
      <c r="G344" s="73"/>
      <c r="H344" s="73"/>
      <c r="I344" s="73"/>
    </row>
    <row r="345" spans="4:9" x14ac:dyDescent="0.2">
      <c r="D345" s="108"/>
      <c r="E345" s="73"/>
      <c r="F345" s="73"/>
      <c r="G345" s="73"/>
      <c r="H345" s="73"/>
      <c r="I345" s="73"/>
    </row>
    <row r="346" spans="4:9" x14ac:dyDescent="0.2">
      <c r="D346" s="108"/>
      <c r="E346" s="73"/>
      <c r="F346" s="73"/>
      <c r="G346" s="73"/>
      <c r="H346" s="73"/>
      <c r="I346" s="73"/>
    </row>
    <row r="347" spans="4:9" x14ac:dyDescent="0.2">
      <c r="D347" s="108"/>
      <c r="E347" s="73"/>
      <c r="F347" s="73"/>
      <c r="G347" s="73"/>
      <c r="H347" s="73"/>
      <c r="I347" s="73"/>
    </row>
    <row r="348" spans="4:9" x14ac:dyDescent="0.2">
      <c r="D348" s="108"/>
      <c r="E348" s="73"/>
      <c r="F348" s="73"/>
      <c r="G348" s="73"/>
      <c r="H348" s="73"/>
      <c r="I348" s="73"/>
    </row>
    <row r="349" spans="4:9" x14ac:dyDescent="0.2">
      <c r="D349" s="108"/>
      <c r="E349" s="73"/>
      <c r="F349" s="73"/>
      <c r="G349" s="73"/>
      <c r="H349" s="73"/>
      <c r="I349" s="73"/>
    </row>
    <row r="350" spans="4:9" x14ac:dyDescent="0.2">
      <c r="D350" s="108"/>
      <c r="E350" s="73"/>
      <c r="F350" s="73"/>
      <c r="G350" s="73"/>
      <c r="H350" s="73"/>
      <c r="I350" s="73"/>
    </row>
    <row r="351" spans="4:9" x14ac:dyDescent="0.2">
      <c r="D351" s="108"/>
      <c r="E351" s="73"/>
      <c r="F351" s="73"/>
      <c r="G351" s="73"/>
      <c r="H351" s="73"/>
      <c r="I351" s="73"/>
    </row>
    <row r="352" spans="4:9" x14ac:dyDescent="0.2">
      <c r="D352" s="108"/>
      <c r="E352" s="73"/>
      <c r="F352" s="73"/>
      <c r="G352" s="73"/>
      <c r="H352" s="73"/>
      <c r="I352" s="73"/>
    </row>
    <row r="353" spans="4:9" x14ac:dyDescent="0.2">
      <c r="D353" s="108"/>
      <c r="E353" s="73"/>
      <c r="F353" s="73"/>
      <c r="G353" s="73"/>
      <c r="H353" s="73"/>
      <c r="I353" s="73"/>
    </row>
    <row r="354" spans="4:9" x14ac:dyDescent="0.2">
      <c r="D354" s="108"/>
      <c r="E354" s="73"/>
      <c r="F354" s="73"/>
      <c r="G354" s="73"/>
      <c r="H354" s="73"/>
      <c r="I354" s="73"/>
    </row>
    <row r="355" spans="4:9" x14ac:dyDescent="0.2">
      <c r="D355" s="108"/>
      <c r="E355" s="73"/>
      <c r="F355" s="73"/>
      <c r="G355" s="73"/>
      <c r="H355" s="73"/>
      <c r="I355" s="73"/>
    </row>
    <row r="356" spans="4:9" x14ac:dyDescent="0.2">
      <c r="D356" s="108"/>
      <c r="E356" s="73"/>
      <c r="F356" s="73"/>
      <c r="G356" s="73"/>
      <c r="H356" s="73"/>
      <c r="I356" s="73"/>
    </row>
    <row r="357" spans="4:9" x14ac:dyDescent="0.2">
      <c r="D357" s="108"/>
      <c r="E357" s="73"/>
      <c r="F357" s="73"/>
      <c r="G357" s="73"/>
      <c r="H357" s="73"/>
      <c r="I357" s="73"/>
    </row>
    <row r="358" spans="4:9" x14ac:dyDescent="0.2">
      <c r="D358" s="108"/>
      <c r="E358" s="73"/>
      <c r="F358" s="73"/>
      <c r="G358" s="73"/>
      <c r="H358" s="73"/>
      <c r="I358" s="73"/>
    </row>
    <row r="359" spans="4:9" x14ac:dyDescent="0.2">
      <c r="D359" s="108"/>
      <c r="E359" s="73"/>
      <c r="F359" s="73"/>
      <c r="G359" s="73"/>
      <c r="H359" s="73"/>
      <c r="I359" s="73"/>
    </row>
    <row r="360" spans="4:9" x14ac:dyDescent="0.2">
      <c r="D360" s="108"/>
      <c r="E360" s="73"/>
      <c r="F360" s="73"/>
      <c r="G360" s="73"/>
      <c r="H360" s="73"/>
      <c r="I360" s="73"/>
    </row>
    <row r="361" spans="4:9" x14ac:dyDescent="0.2">
      <c r="D361" s="108"/>
      <c r="E361" s="73"/>
      <c r="F361" s="73"/>
      <c r="G361" s="73"/>
      <c r="H361" s="73"/>
      <c r="I361" s="73"/>
    </row>
    <row r="362" spans="4:9" x14ac:dyDescent="0.2">
      <c r="D362" s="108"/>
      <c r="E362" s="73"/>
      <c r="F362" s="73"/>
      <c r="G362" s="73"/>
      <c r="H362" s="73"/>
      <c r="I362" s="73"/>
    </row>
    <row r="363" spans="4:9" x14ac:dyDescent="0.2">
      <c r="D363" s="108"/>
      <c r="E363" s="73"/>
      <c r="F363" s="73"/>
      <c r="G363" s="73"/>
      <c r="H363" s="73"/>
      <c r="I363" s="73"/>
    </row>
    <row r="364" spans="4:9" x14ac:dyDescent="0.2">
      <c r="D364" s="108"/>
      <c r="E364" s="73"/>
      <c r="F364" s="73"/>
      <c r="G364" s="73"/>
      <c r="H364" s="73"/>
      <c r="I364" s="73"/>
    </row>
    <row r="365" spans="4:9" x14ac:dyDescent="0.2">
      <c r="D365" s="108"/>
      <c r="E365" s="73"/>
      <c r="F365" s="73"/>
      <c r="G365" s="73"/>
      <c r="H365" s="73"/>
      <c r="I365" s="73"/>
    </row>
    <row r="366" spans="4:9" x14ac:dyDescent="0.2">
      <c r="D366" s="108"/>
      <c r="E366" s="73"/>
      <c r="F366" s="73"/>
      <c r="G366" s="73"/>
      <c r="H366" s="73"/>
      <c r="I366" s="73"/>
    </row>
    <row r="367" spans="4:9" x14ac:dyDescent="0.2">
      <c r="D367" s="108"/>
      <c r="E367" s="73"/>
      <c r="F367" s="73"/>
      <c r="G367" s="73"/>
      <c r="H367" s="73"/>
      <c r="I367" s="73"/>
    </row>
    <row r="368" spans="4:9" x14ac:dyDescent="0.2">
      <c r="D368" s="108"/>
      <c r="E368" s="73"/>
      <c r="F368" s="73"/>
      <c r="G368" s="73"/>
      <c r="H368" s="73"/>
      <c r="I368" s="73"/>
    </row>
    <row r="369" spans="4:9" x14ac:dyDescent="0.2">
      <c r="D369" s="108"/>
      <c r="E369" s="73"/>
      <c r="F369" s="73"/>
      <c r="G369" s="73"/>
      <c r="H369" s="73"/>
      <c r="I369" s="73"/>
    </row>
    <row r="370" spans="4:9" x14ac:dyDescent="0.2">
      <c r="D370" s="108"/>
      <c r="E370" s="73"/>
      <c r="F370" s="73"/>
      <c r="G370" s="73"/>
      <c r="H370" s="73"/>
      <c r="I370" s="73"/>
    </row>
    <row r="371" spans="4:9" x14ac:dyDescent="0.2">
      <c r="D371" s="108"/>
      <c r="E371" s="73"/>
      <c r="F371" s="73"/>
      <c r="G371" s="73"/>
      <c r="H371" s="73"/>
      <c r="I371" s="73"/>
    </row>
    <row r="372" spans="4:9" x14ac:dyDescent="0.2">
      <c r="D372" s="108"/>
      <c r="E372" s="73"/>
      <c r="F372" s="73"/>
      <c r="G372" s="73"/>
      <c r="H372" s="73"/>
      <c r="I372" s="73"/>
    </row>
    <row r="373" spans="4:9" x14ac:dyDescent="0.2">
      <c r="D373" s="108"/>
      <c r="E373" s="73"/>
      <c r="F373" s="73"/>
      <c r="G373" s="73"/>
      <c r="H373" s="73"/>
      <c r="I373" s="73"/>
    </row>
    <row r="374" spans="4:9" x14ac:dyDescent="0.2">
      <c r="D374" s="108"/>
      <c r="E374" s="73"/>
      <c r="F374" s="73"/>
      <c r="G374" s="73"/>
      <c r="H374" s="73"/>
      <c r="I374" s="73"/>
    </row>
    <row r="375" spans="4:9" x14ac:dyDescent="0.2">
      <c r="D375" s="108"/>
      <c r="E375" s="73"/>
      <c r="F375" s="73"/>
      <c r="G375" s="73"/>
      <c r="H375" s="73"/>
      <c r="I375" s="73"/>
    </row>
    <row r="376" spans="4:9" x14ac:dyDescent="0.2">
      <c r="D376" s="108"/>
      <c r="E376" s="73"/>
      <c r="F376" s="73"/>
      <c r="G376" s="73"/>
      <c r="H376" s="73"/>
      <c r="I376" s="73"/>
    </row>
    <row r="377" spans="4:9" x14ac:dyDescent="0.2">
      <c r="D377" s="108"/>
      <c r="E377" s="73"/>
      <c r="F377" s="73"/>
      <c r="G377" s="73"/>
      <c r="H377" s="73"/>
      <c r="I377" s="73"/>
    </row>
    <row r="378" spans="4:9" x14ac:dyDescent="0.2">
      <c r="D378" s="108"/>
      <c r="E378" s="73"/>
      <c r="F378" s="73"/>
      <c r="G378" s="73"/>
      <c r="H378" s="73"/>
      <c r="I378" s="73"/>
    </row>
    <row r="379" spans="4:9" x14ac:dyDescent="0.2">
      <c r="D379" s="108"/>
      <c r="E379" s="73"/>
      <c r="F379" s="73"/>
      <c r="G379" s="73"/>
      <c r="H379" s="73"/>
      <c r="I379" s="73"/>
    </row>
    <row r="380" spans="4:9" x14ac:dyDescent="0.2">
      <c r="D380" s="108"/>
      <c r="E380" s="73"/>
      <c r="F380" s="73"/>
      <c r="G380" s="73"/>
      <c r="H380" s="73"/>
      <c r="I380" s="73"/>
    </row>
    <row r="381" spans="4:9" x14ac:dyDescent="0.2">
      <c r="D381" s="108"/>
      <c r="E381" s="73"/>
      <c r="F381" s="73"/>
      <c r="G381" s="73"/>
      <c r="H381" s="73"/>
      <c r="I381" s="73"/>
    </row>
    <row r="382" spans="4:9" x14ac:dyDescent="0.2">
      <c r="D382" s="108"/>
      <c r="E382" s="73"/>
      <c r="F382" s="73"/>
      <c r="G382" s="73"/>
      <c r="H382" s="73"/>
      <c r="I382" s="73"/>
    </row>
    <row r="383" spans="4:9" x14ac:dyDescent="0.2">
      <c r="D383" s="108"/>
      <c r="E383" s="73"/>
      <c r="F383" s="73"/>
      <c r="G383" s="73"/>
      <c r="H383" s="73"/>
      <c r="I383" s="73"/>
    </row>
    <row r="384" spans="4:9" x14ac:dyDescent="0.2">
      <c r="D384" s="108"/>
      <c r="E384" s="73"/>
      <c r="F384" s="73"/>
      <c r="G384" s="73"/>
      <c r="H384" s="73"/>
      <c r="I384" s="73"/>
    </row>
    <row r="385" spans="4:9" x14ac:dyDescent="0.2">
      <c r="D385" s="108"/>
      <c r="E385" s="73"/>
      <c r="F385" s="73"/>
      <c r="G385" s="73"/>
      <c r="H385" s="73"/>
      <c r="I385" s="73"/>
    </row>
    <row r="386" spans="4:9" x14ac:dyDescent="0.2">
      <c r="D386" s="108"/>
      <c r="E386" s="73"/>
      <c r="F386" s="73"/>
      <c r="G386" s="73"/>
      <c r="H386" s="73"/>
      <c r="I386" s="73"/>
    </row>
    <row r="387" spans="4:9" x14ac:dyDescent="0.2">
      <c r="D387" s="108"/>
      <c r="E387" s="73"/>
      <c r="F387" s="73"/>
      <c r="G387" s="73"/>
      <c r="H387" s="73"/>
      <c r="I387" s="73"/>
    </row>
    <row r="388" spans="4:9" x14ac:dyDescent="0.2">
      <c r="D388" s="108"/>
      <c r="E388" s="73"/>
      <c r="F388" s="73"/>
      <c r="G388" s="73"/>
      <c r="H388" s="73"/>
      <c r="I388" s="73"/>
    </row>
    <row r="389" spans="4:9" x14ac:dyDescent="0.2">
      <c r="D389" s="108"/>
      <c r="E389" s="73"/>
      <c r="F389" s="73"/>
      <c r="G389" s="73"/>
      <c r="H389" s="73"/>
      <c r="I389" s="73"/>
    </row>
    <row r="390" spans="4:9" x14ac:dyDescent="0.2">
      <c r="D390" s="108"/>
      <c r="E390" s="73"/>
      <c r="F390" s="73"/>
      <c r="G390" s="73"/>
      <c r="H390" s="73"/>
      <c r="I390" s="73"/>
    </row>
    <row r="391" spans="4:9" x14ac:dyDescent="0.2">
      <c r="D391" s="108"/>
      <c r="E391" s="73"/>
      <c r="F391" s="73"/>
      <c r="G391" s="73"/>
      <c r="H391" s="73"/>
      <c r="I391" s="73"/>
    </row>
    <row r="392" spans="4:9" x14ac:dyDescent="0.2">
      <c r="D392" s="108"/>
      <c r="E392" s="73"/>
      <c r="F392" s="73"/>
      <c r="G392" s="73"/>
      <c r="H392" s="73"/>
      <c r="I392" s="73"/>
    </row>
    <row r="393" spans="4:9" x14ac:dyDescent="0.2">
      <c r="D393" s="108"/>
      <c r="E393" s="73"/>
      <c r="F393" s="73"/>
      <c r="G393" s="73"/>
      <c r="H393" s="73"/>
      <c r="I393" s="73"/>
    </row>
    <row r="394" spans="4:9" x14ac:dyDescent="0.2">
      <c r="D394" s="108"/>
      <c r="E394" s="73"/>
      <c r="F394" s="73"/>
      <c r="G394" s="73"/>
      <c r="H394" s="73"/>
      <c r="I394" s="73"/>
    </row>
    <row r="395" spans="4:9" x14ac:dyDescent="0.2">
      <c r="D395" s="108"/>
      <c r="E395" s="73"/>
      <c r="F395" s="73"/>
      <c r="G395" s="73"/>
      <c r="H395" s="73"/>
      <c r="I395" s="73"/>
    </row>
    <row r="396" spans="4:9" x14ac:dyDescent="0.2">
      <c r="D396" s="108"/>
      <c r="E396" s="73"/>
      <c r="F396" s="73"/>
      <c r="G396" s="73"/>
      <c r="H396" s="73"/>
      <c r="I396" s="73"/>
    </row>
    <row r="397" spans="4:9" x14ac:dyDescent="0.2">
      <c r="D397" s="108"/>
      <c r="E397" s="73"/>
      <c r="F397" s="73"/>
      <c r="G397" s="73"/>
      <c r="H397" s="73"/>
      <c r="I397" s="73"/>
    </row>
    <row r="398" spans="4:9" x14ac:dyDescent="0.2">
      <c r="D398" s="108"/>
      <c r="E398" s="73"/>
      <c r="F398" s="73"/>
      <c r="G398" s="73"/>
      <c r="H398" s="73"/>
      <c r="I398" s="73"/>
    </row>
    <row r="399" spans="4:9" x14ac:dyDescent="0.2">
      <c r="D399" s="108"/>
      <c r="E399" s="73"/>
      <c r="F399" s="73"/>
      <c r="G399" s="73"/>
      <c r="H399" s="73"/>
      <c r="I399" s="73"/>
    </row>
    <row r="400" spans="4:9" x14ac:dyDescent="0.2">
      <c r="D400" s="108"/>
      <c r="E400" s="73"/>
      <c r="F400" s="73"/>
      <c r="G400" s="73"/>
      <c r="H400" s="73"/>
      <c r="I400" s="73"/>
    </row>
    <row r="401" spans="4:9" x14ac:dyDescent="0.2">
      <c r="D401" s="108"/>
      <c r="E401" s="73"/>
      <c r="F401" s="73"/>
      <c r="G401" s="73"/>
      <c r="H401" s="73"/>
      <c r="I401" s="73"/>
    </row>
    <row r="402" spans="4:9" x14ac:dyDescent="0.2">
      <c r="D402" s="108"/>
      <c r="E402" s="73"/>
      <c r="F402" s="73"/>
      <c r="G402" s="73"/>
      <c r="H402" s="73"/>
      <c r="I402" s="73"/>
    </row>
    <row r="403" spans="4:9" x14ac:dyDescent="0.2">
      <c r="D403" s="108"/>
      <c r="E403" s="73"/>
      <c r="F403" s="73"/>
      <c r="G403" s="73"/>
      <c r="H403" s="73"/>
      <c r="I403" s="73"/>
    </row>
    <row r="404" spans="4:9" x14ac:dyDescent="0.2">
      <c r="D404" s="108"/>
      <c r="E404" s="73"/>
      <c r="F404" s="73"/>
      <c r="G404" s="73"/>
      <c r="H404" s="73"/>
      <c r="I404" s="73"/>
    </row>
    <row r="405" spans="4:9" x14ac:dyDescent="0.2">
      <c r="D405" s="108"/>
      <c r="E405" s="73"/>
      <c r="F405" s="73"/>
      <c r="G405" s="73"/>
      <c r="H405" s="73"/>
      <c r="I405" s="73"/>
    </row>
    <row r="406" spans="4:9" x14ac:dyDescent="0.2">
      <c r="D406" s="108"/>
      <c r="E406" s="73"/>
      <c r="F406" s="73"/>
      <c r="G406" s="73"/>
      <c r="H406" s="73"/>
      <c r="I406" s="73"/>
    </row>
    <row r="407" spans="4:9" x14ac:dyDescent="0.2">
      <c r="D407" s="108"/>
      <c r="E407" s="73"/>
      <c r="F407" s="73"/>
      <c r="G407" s="73"/>
      <c r="H407" s="73"/>
      <c r="I407" s="73"/>
    </row>
    <row r="408" spans="4:9" x14ac:dyDescent="0.2">
      <c r="D408" s="108"/>
      <c r="E408" s="73"/>
      <c r="F408" s="73"/>
      <c r="G408" s="73"/>
      <c r="H408" s="73"/>
      <c r="I408" s="73"/>
    </row>
    <row r="409" spans="4:9" x14ac:dyDescent="0.2">
      <c r="D409" s="108"/>
      <c r="E409" s="73"/>
      <c r="F409" s="73"/>
      <c r="G409" s="73"/>
      <c r="H409" s="73"/>
      <c r="I409" s="73"/>
    </row>
    <row r="410" spans="4:9" x14ac:dyDescent="0.2">
      <c r="D410" s="108"/>
      <c r="E410" s="73"/>
      <c r="F410" s="73"/>
      <c r="G410" s="73"/>
      <c r="H410" s="73"/>
      <c r="I410" s="73"/>
    </row>
    <row r="411" spans="4:9" x14ac:dyDescent="0.2">
      <c r="D411" s="108"/>
      <c r="E411" s="73"/>
      <c r="F411" s="73"/>
      <c r="G411" s="73"/>
      <c r="H411" s="73"/>
      <c r="I411" s="73"/>
    </row>
    <row r="412" spans="4:9" x14ac:dyDescent="0.2">
      <c r="D412" s="108"/>
      <c r="E412" s="73"/>
      <c r="F412" s="73"/>
      <c r="G412" s="73"/>
      <c r="H412" s="73"/>
      <c r="I412" s="73"/>
    </row>
    <row r="413" spans="4:9" x14ac:dyDescent="0.2">
      <c r="D413" s="108"/>
      <c r="E413" s="73"/>
      <c r="F413" s="73"/>
      <c r="G413" s="73"/>
      <c r="H413" s="73"/>
      <c r="I413" s="73"/>
    </row>
    <row r="414" spans="4:9" x14ac:dyDescent="0.2">
      <c r="D414" s="108"/>
      <c r="E414" s="73"/>
      <c r="F414" s="73"/>
      <c r="G414" s="73"/>
      <c r="H414" s="73"/>
      <c r="I414" s="73"/>
    </row>
    <row r="415" spans="4:9" x14ac:dyDescent="0.2">
      <c r="D415" s="108"/>
      <c r="E415" s="73"/>
      <c r="F415" s="73"/>
      <c r="G415" s="73"/>
      <c r="H415" s="73"/>
      <c r="I415" s="73"/>
    </row>
    <row r="416" spans="4:9" x14ac:dyDescent="0.2">
      <c r="D416" s="108"/>
      <c r="E416" s="73"/>
      <c r="F416" s="73"/>
      <c r="G416" s="73"/>
      <c r="H416" s="73"/>
      <c r="I416" s="73"/>
    </row>
    <row r="417" spans="4:9" x14ac:dyDescent="0.2">
      <c r="D417" s="108"/>
      <c r="E417" s="73"/>
      <c r="F417" s="73"/>
      <c r="G417" s="73"/>
      <c r="H417" s="73"/>
      <c r="I417" s="73"/>
    </row>
    <row r="418" spans="4:9" x14ac:dyDescent="0.2">
      <c r="D418" s="108"/>
      <c r="E418" s="73"/>
      <c r="F418" s="73"/>
      <c r="G418" s="73"/>
      <c r="H418" s="73"/>
      <c r="I418" s="73"/>
    </row>
    <row r="419" spans="4:9" x14ac:dyDescent="0.2">
      <c r="D419" s="108"/>
      <c r="E419" s="73"/>
      <c r="F419" s="73"/>
      <c r="G419" s="73"/>
      <c r="H419" s="73"/>
      <c r="I419" s="73"/>
    </row>
    <row r="420" spans="4:9" x14ac:dyDescent="0.2">
      <c r="D420" s="108"/>
      <c r="E420" s="73"/>
      <c r="F420" s="73"/>
      <c r="G420" s="73"/>
      <c r="H420" s="73"/>
      <c r="I420" s="73"/>
    </row>
    <row r="421" spans="4:9" x14ac:dyDescent="0.2">
      <c r="D421" s="108"/>
      <c r="E421" s="73"/>
      <c r="F421" s="73"/>
      <c r="G421" s="73"/>
      <c r="H421" s="73"/>
      <c r="I421" s="73"/>
    </row>
    <row r="422" spans="4:9" x14ac:dyDescent="0.2">
      <c r="D422" s="108"/>
      <c r="E422" s="73"/>
      <c r="F422" s="73"/>
      <c r="G422" s="73"/>
      <c r="H422" s="73"/>
      <c r="I422" s="73"/>
    </row>
    <row r="423" spans="4:9" x14ac:dyDescent="0.2">
      <c r="D423" s="108"/>
      <c r="E423" s="73"/>
      <c r="F423" s="73"/>
      <c r="G423" s="73"/>
      <c r="H423" s="73"/>
      <c r="I423" s="73"/>
    </row>
    <row r="424" spans="4:9" x14ac:dyDescent="0.2">
      <c r="D424" s="108"/>
      <c r="E424" s="73"/>
      <c r="F424" s="73"/>
      <c r="G424" s="73"/>
      <c r="H424" s="73"/>
      <c r="I424" s="73"/>
    </row>
    <row r="425" spans="4:9" x14ac:dyDescent="0.2">
      <c r="D425" s="108"/>
      <c r="E425" s="73"/>
      <c r="F425" s="73"/>
      <c r="G425" s="73"/>
      <c r="H425" s="73"/>
      <c r="I425" s="73"/>
    </row>
    <row r="426" spans="4:9" x14ac:dyDescent="0.2">
      <c r="D426" s="108"/>
      <c r="E426" s="73"/>
      <c r="F426" s="73"/>
      <c r="G426" s="73"/>
      <c r="H426" s="73"/>
      <c r="I426" s="73"/>
    </row>
    <row r="427" spans="4:9" x14ac:dyDescent="0.2">
      <c r="D427" s="108"/>
      <c r="E427" s="73"/>
      <c r="F427" s="73"/>
      <c r="G427" s="73"/>
      <c r="H427" s="73"/>
      <c r="I427" s="73"/>
    </row>
    <row r="428" spans="4:9" x14ac:dyDescent="0.2">
      <c r="D428" s="108"/>
      <c r="E428" s="73"/>
      <c r="F428" s="73"/>
      <c r="G428" s="73"/>
      <c r="H428" s="73"/>
      <c r="I428" s="73"/>
    </row>
    <row r="429" spans="4:9" x14ac:dyDescent="0.2">
      <c r="D429" s="108"/>
      <c r="E429" s="73"/>
      <c r="F429" s="73"/>
      <c r="G429" s="73"/>
      <c r="H429" s="73"/>
      <c r="I429" s="73"/>
    </row>
  </sheetData>
  <mergeCells count="9">
    <mergeCell ref="J11:J12"/>
    <mergeCell ref="K13:K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topLeftCell="A70" zoomScale="80" zoomScaleNormal="90" zoomScaleSheetLayoutView="80" workbookViewId="0">
      <selection activeCell="G102" sqref="G102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3.85546875" style="75" bestFit="1" customWidth="1"/>
    <col min="6" max="6" width="13" style="83" customWidth="1"/>
    <col min="7" max="7" width="20.5703125" style="97" bestFit="1" customWidth="1"/>
    <col min="8" max="8" width="14.7109375" style="91" bestFit="1" customWidth="1"/>
    <col min="9" max="9" width="44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'DESARROLLO ACADEMICO'!J4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357" t="str">
        <f>'DESARROLLO ACADEMICO'!J5</f>
        <v>DEPENDENCIA / ORGANISMO</v>
      </c>
      <c r="N5" s="7"/>
      <c r="O5" s="7"/>
    </row>
    <row r="6" spans="1:15" ht="20.25" customHeight="1" x14ac:dyDescent="0.2">
      <c r="A6" s="11"/>
      <c r="B6" s="11"/>
      <c r="C6" s="494" t="s">
        <v>255</v>
      </c>
      <c r="D6" s="494"/>
      <c r="E6" s="494"/>
      <c r="F6" s="494"/>
      <c r="G6" s="494"/>
      <c r="H6" s="494"/>
      <c r="I6" s="423" t="str">
        <f>'DESARROLLO ACADEMICO'!J6</f>
        <v>SUBDIRECCIÓN ACADÉMICA</v>
      </c>
      <c r="N6" s="7"/>
      <c r="O6" s="7"/>
    </row>
    <row r="7" spans="1:15" ht="12.75" customHeight="1" x14ac:dyDescent="0.2">
      <c r="A7" s="11"/>
      <c r="B7" s="11"/>
      <c r="C7" s="494"/>
      <c r="D7" s="494"/>
      <c r="E7" s="494"/>
      <c r="F7" s="494"/>
      <c r="G7" s="494"/>
      <c r="H7" s="494"/>
      <c r="I7" s="357" t="str">
        <f>'DESARROLLO ACADEMICO'!J7</f>
        <v>PROCESO</v>
      </c>
      <c r="N7" s="7"/>
      <c r="O7" s="7"/>
    </row>
    <row r="8" spans="1:15" ht="17.25" customHeight="1" x14ac:dyDescent="0.2">
      <c r="A8" s="11"/>
      <c r="B8" s="11"/>
      <c r="C8" s="494"/>
      <c r="D8" s="494"/>
      <c r="E8" s="494"/>
      <c r="F8" s="494"/>
      <c r="G8" s="494"/>
      <c r="H8" s="494"/>
      <c r="I8" s="423" t="s">
        <v>272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'DESARROLLO ACADEMICO'!J9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449441.62</v>
      </c>
      <c r="E13" s="76">
        <v>224720.81</v>
      </c>
      <c r="F13" s="76">
        <v>224720.81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0</v>
      </c>
      <c r="E15" s="76"/>
      <c r="F15" s="84"/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29962.78</v>
      </c>
      <c r="E16" s="76">
        <v>14981.39</v>
      </c>
      <c r="F16" s="84">
        <v>14981.39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62422.45</v>
      </c>
      <c r="E17" s="76">
        <f>24968.98+12484.49</f>
        <v>37453.47</v>
      </c>
      <c r="F17" s="84">
        <v>24968.98</v>
      </c>
      <c r="G17" s="98"/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13483.26</v>
      </c>
      <c r="E20" s="76">
        <v>6741.63</v>
      </c>
      <c r="F20" s="84">
        <v>6741.63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47191.38</v>
      </c>
      <c r="E21" s="76">
        <v>23595.69</v>
      </c>
      <c r="F21" s="84">
        <v>23595.69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8988.84</v>
      </c>
      <c r="E22" s="76">
        <v>4494.42</v>
      </c>
      <c r="F22" s="84">
        <v>4494.42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18726.73</v>
      </c>
      <c r="E25" s="76">
        <v>18726.73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0</v>
      </c>
      <c r="E26" s="76"/>
      <c r="F26" s="84"/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37260</v>
      </c>
      <c r="E27" s="76">
        <v>18630</v>
      </c>
      <c r="F27" s="84">
        <v>18630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667477.05999999994</v>
      </c>
      <c r="E28" s="65">
        <f t="shared" si="1"/>
        <v>349344.14</v>
      </c>
      <c r="F28" s="65">
        <f t="shared" si="1"/>
        <v>318132.92</v>
      </c>
      <c r="G28" s="65">
        <f t="shared" si="1"/>
        <v>0</v>
      </c>
      <c r="H28" s="65">
        <f t="shared" si="1"/>
        <v>0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4000</v>
      </c>
      <c r="E29" s="76">
        <v>1000</v>
      </c>
      <c r="F29" s="85">
        <v>3000</v>
      </c>
      <c r="G29" s="99"/>
      <c r="H29" s="93"/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5000</v>
      </c>
      <c r="E31" s="77"/>
      <c r="F31" s="86"/>
      <c r="G31" s="100"/>
      <c r="H31" s="94">
        <v>5000</v>
      </c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/>
      <c r="F32" s="85"/>
      <c r="G32" s="100"/>
      <c r="H32" s="103"/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/>
      <c r="F34" s="85"/>
      <c r="G34" s="99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5000</v>
      </c>
      <c r="E35" s="77">
        <v>2500</v>
      </c>
      <c r="F35" s="86">
        <v>2500</v>
      </c>
      <c r="G35" s="100"/>
      <c r="H35" s="94"/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/>
      <c r="F37" s="85"/>
      <c r="G37" s="99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77"/>
      <c r="F44" s="85"/>
      <c r="G44" s="99"/>
      <c r="H44" s="93"/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/>
      <c r="F47" s="85"/>
      <c r="G47" s="100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77"/>
      <c r="F48" s="86"/>
      <c r="G48" s="100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2000</v>
      </c>
      <c r="E49" s="77">
        <v>1000</v>
      </c>
      <c r="F49" s="85">
        <v>1000</v>
      </c>
      <c r="G49" s="99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9"/>
      <c r="H51" s="93"/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5"/>
      <c r="G52" s="99"/>
      <c r="H52" s="93"/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/>
      <c r="F53" s="85"/>
      <c r="G53" s="99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/>
      <c r="F57" s="85"/>
      <c r="G57" s="99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10000</v>
      </c>
      <c r="E58" s="77">
        <v>5000</v>
      </c>
      <c r="F58" s="85">
        <v>5000</v>
      </c>
      <c r="G58" s="99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77"/>
      <c r="F59" s="85"/>
      <c r="G59" s="99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30"/>
    </row>
    <row r="63" spans="1:9" s="21" customFormat="1" ht="24" x14ac:dyDescent="0.2">
      <c r="A63" s="54">
        <v>2951</v>
      </c>
      <c r="B63" s="64"/>
      <c r="C63" s="51" t="s">
        <v>75</v>
      </c>
      <c r="D63" s="61">
        <f t="shared" si="2"/>
        <v>0</v>
      </c>
      <c r="E63" s="77"/>
      <c r="F63" s="86"/>
      <c r="G63" s="99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77"/>
      <c r="F65" s="85"/>
      <c r="G65" s="99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26000</v>
      </c>
      <c r="E67" s="66">
        <f t="shared" ref="E67:G67" si="3">SUM(E29:E66)</f>
        <v>9500</v>
      </c>
      <c r="F67" s="66">
        <f t="shared" si="3"/>
        <v>11500</v>
      </c>
      <c r="G67" s="66">
        <f t="shared" si="3"/>
        <v>0</v>
      </c>
      <c r="H67" s="66">
        <f>SUM(H29:H66)</f>
        <v>5000</v>
      </c>
      <c r="I67" s="25"/>
      <c r="J67" s="26"/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/>
      <c r="F69" s="86"/>
      <c r="G69" s="99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/>
      <c r="G72" s="100"/>
      <c r="H72" s="94"/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0</v>
      </c>
      <c r="E73" s="77"/>
      <c r="F73" s="86"/>
      <c r="G73" s="100"/>
      <c r="H73" s="94"/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/>
      <c r="F74" s="86"/>
      <c r="G74" s="100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/>
      <c r="F75" s="85"/>
      <c r="G75" s="99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0</v>
      </c>
      <c r="E80" s="77"/>
      <c r="F80" s="85"/>
      <c r="G80" s="99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0</v>
      </c>
      <c r="E82" s="77"/>
      <c r="F82" s="88"/>
      <c r="G82" s="99"/>
      <c r="H82" s="93"/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>
        <f t="shared" si="4"/>
        <v>165000</v>
      </c>
      <c r="E84" s="77"/>
      <c r="F84" s="86"/>
      <c r="G84" s="100"/>
      <c r="H84" s="94">
        <v>165000</v>
      </c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7"/>
      <c r="F94" s="85"/>
      <c r="G94" s="99"/>
      <c r="H94" s="93"/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355000</v>
      </c>
      <c r="E96" s="77"/>
      <c r="F96" s="86"/>
      <c r="G96" s="100">
        <f>340000+15000</f>
        <v>355000</v>
      </c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6000</v>
      </c>
      <c r="E97" s="77"/>
      <c r="F97" s="85"/>
      <c r="G97" s="99"/>
      <c r="H97" s="94">
        <v>6000</v>
      </c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0</v>
      </c>
      <c r="E98" s="77"/>
      <c r="F98" s="86"/>
      <c r="G98" s="100"/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25000</v>
      </c>
      <c r="E99" s="77"/>
      <c r="F99" s="86"/>
      <c r="G99" s="100">
        <v>10000</v>
      </c>
      <c r="H99" s="94">
        <v>15000</v>
      </c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160000</v>
      </c>
      <c r="E100" s="77"/>
      <c r="F100" s="86"/>
      <c r="G100" s="100">
        <f>50000+50000</f>
        <v>100000</v>
      </c>
      <c r="H100" s="94">
        <f>60000-40000+40000</f>
        <v>60000</v>
      </c>
      <c r="I100" s="33" t="s">
        <v>213</v>
      </c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50000</v>
      </c>
      <c r="E101" s="77"/>
      <c r="F101" s="86"/>
      <c r="G101" s="100">
        <v>50000</v>
      </c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30000</v>
      </c>
      <c r="E102" s="77"/>
      <c r="F102" s="86"/>
      <c r="G102" s="100">
        <v>30000</v>
      </c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5000</v>
      </c>
      <c r="E103" s="77"/>
      <c r="F103" s="86"/>
      <c r="G103" s="100"/>
      <c r="H103" s="94">
        <v>5000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80"/>
      <c r="F104" s="89"/>
      <c r="G104" s="106"/>
      <c r="H104" s="95"/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796000</v>
      </c>
      <c r="E105" s="65">
        <f t="shared" si="5"/>
        <v>0</v>
      </c>
      <c r="F105" s="65">
        <f t="shared" si="5"/>
        <v>0</v>
      </c>
      <c r="G105" s="65">
        <f t="shared" si="5"/>
        <v>545000</v>
      </c>
      <c r="H105" s="65">
        <f t="shared" si="5"/>
        <v>251000</v>
      </c>
      <c r="I105" s="30"/>
      <c r="J105" s="26"/>
    </row>
    <row r="106" spans="1:10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6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/>
      <c r="E108" s="82"/>
      <c r="F108" s="90"/>
      <c r="G108" s="101"/>
      <c r="H108" s="96"/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>SUM(E109:H109)</f>
        <v>0</v>
      </c>
      <c r="E109" s="82"/>
      <c r="F109" s="90"/>
      <c r="G109" s="101"/>
      <c r="H109" s="96"/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/>
      <c r="E110" s="82"/>
      <c r="F110" s="90"/>
      <c r="G110" s="101"/>
      <c r="H110" s="96"/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/>
      <c r="E111" s="82"/>
      <c r="F111" s="90"/>
      <c r="G111" s="101"/>
      <c r="H111" s="96"/>
      <c r="I111" s="72"/>
    </row>
    <row r="112" spans="1:10" s="11" customFormat="1" ht="25.5" x14ac:dyDescent="0.2">
      <c r="A112" s="22"/>
      <c r="B112" s="22"/>
      <c r="C112" s="62" t="s">
        <v>118</v>
      </c>
      <c r="D112" s="23">
        <f t="shared" ref="D112:H112" si="7">SUM(D109:D109)</f>
        <v>0</v>
      </c>
      <c r="E112" s="23">
        <f t="shared" si="7"/>
        <v>0</v>
      </c>
      <c r="F112" s="23">
        <f t="shared" si="7"/>
        <v>0</v>
      </c>
      <c r="G112" s="23">
        <f t="shared" si="7"/>
        <v>0</v>
      </c>
      <c r="H112" s="23">
        <f t="shared" si="7"/>
        <v>0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6"/>
      <c r="I113" s="38"/>
    </row>
    <row r="114" spans="1:10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38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8">SUM(E115:E116)</f>
        <v>0</v>
      </c>
      <c r="F117" s="23">
        <f t="shared" si="8"/>
        <v>0</v>
      </c>
      <c r="G117" s="23">
        <f t="shared" si="8"/>
        <v>0</v>
      </c>
      <c r="H117" s="23">
        <f t="shared" si="8"/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9">SUM(D118:D119)</f>
        <v>0</v>
      </c>
      <c r="E120" s="23">
        <f t="shared" si="9"/>
        <v>0</v>
      </c>
      <c r="F120" s="23">
        <f t="shared" si="9"/>
        <v>0</v>
      </c>
      <c r="G120" s="23">
        <f t="shared" si="9"/>
        <v>0</v>
      </c>
      <c r="H120" s="23">
        <f t="shared" si="9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0">SUM(D120,D117,D112,D107,D105,D67,D28)</f>
        <v>1489477.06</v>
      </c>
      <c r="E121" s="190">
        <f t="shared" si="10"/>
        <v>358844.14</v>
      </c>
      <c r="F121" s="190">
        <f t="shared" si="10"/>
        <v>329632.92</v>
      </c>
      <c r="G121" s="190">
        <f t="shared" si="10"/>
        <v>545000</v>
      </c>
      <c r="H121" s="190">
        <f t="shared" si="10"/>
        <v>256000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topLeftCell="A58" zoomScale="60" zoomScaleNormal="60" workbookViewId="0">
      <selection activeCell="A78" sqref="A78:XFD78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5.140625" style="75" customWidth="1"/>
    <col min="6" max="6" width="14.85546875" style="83" customWidth="1"/>
    <col min="7" max="7" width="20.5703125" style="97" bestFit="1" customWidth="1"/>
    <col min="8" max="8" width="14.7109375" style="91" bestFit="1" customWidth="1"/>
    <col min="9" max="9" width="41.2851562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VINCULACIÓN!I4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9" t="s">
        <v>22</v>
      </c>
      <c r="N5" s="7"/>
      <c r="O5" s="7"/>
    </row>
    <row r="6" spans="1:15" ht="20.25" customHeight="1" x14ac:dyDescent="0.2">
      <c r="A6" s="11"/>
      <c r="B6" s="11"/>
      <c r="C6" s="495" t="s">
        <v>255</v>
      </c>
      <c r="D6" s="495"/>
      <c r="E6" s="495"/>
      <c r="F6" s="495"/>
      <c r="G6" s="495"/>
      <c r="H6" s="495"/>
      <c r="I6" s="423" t="str">
        <f>VINCULACIÓN!I6</f>
        <v>SUBDIRECCIÓN ACADÉMICA</v>
      </c>
      <c r="N6" s="7"/>
      <c r="O6" s="7"/>
    </row>
    <row r="7" spans="1:15" ht="12.75" customHeight="1" x14ac:dyDescent="0.2">
      <c r="A7" s="11"/>
      <c r="B7" s="11"/>
      <c r="C7" s="495"/>
      <c r="D7" s="495"/>
      <c r="E7" s="495"/>
      <c r="F7" s="495"/>
      <c r="G7" s="495"/>
      <c r="H7" s="495"/>
      <c r="I7" s="357" t="str">
        <f>VINCULACIÓN!I7</f>
        <v>PROCESO</v>
      </c>
      <c r="N7" s="7"/>
      <c r="O7" s="7"/>
    </row>
    <row r="8" spans="1:15" ht="17.25" customHeight="1" x14ac:dyDescent="0.2">
      <c r="A8" s="11"/>
      <c r="B8" s="11"/>
      <c r="C8" s="495"/>
      <c r="D8" s="495"/>
      <c r="E8" s="495"/>
      <c r="F8" s="495"/>
      <c r="G8" s="495"/>
      <c r="H8" s="495"/>
      <c r="I8" s="423" t="s">
        <v>273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VINCULACIÓN!I9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1853789.2200000002</v>
      </c>
      <c r="E13" s="76">
        <f>ELECTROMECANICA!E13+ALIMENTARIAS!E13+'INOVACION AGRICOLA'!E13+'SERVICIOS ESCOLARES'!E13+'DESARROLLO ACADEMICO'!E13</f>
        <v>926894.6100000001</v>
      </c>
      <c r="F13" s="85">
        <f>ELECTROMECANICA!F13+ALIMENTARIAS!F13+'INOVACION AGRICOLA'!F13+'SERVICIOS ESCOLARES'!F13+'DESARROLLO ACADEMICO'!F13</f>
        <v>926894.6100000001</v>
      </c>
      <c r="G13" s="99">
        <f>ELECTROMECANICA!G13+ALIMENTARIAS!G13+'INOVACION AGRICOLA'!G13+'SERVICIOS ESCOLARES'!G13+'DESARROLLO ACADEMICO'!G13</f>
        <v>0</v>
      </c>
      <c r="H13" s="93">
        <f>ELECTROMECANICA!H13+ALIMENTARIAS!H13+'INOVACION AGRICOLA'!H13+'SERVICIOS ESCOLARES'!H13+'DESARROLLO ACADEMICO'!H13</f>
        <v>0</v>
      </c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2958567.5900000003</v>
      </c>
      <c r="E14" s="76">
        <f>ELECTROMECANICA!E14+ALIMENTARIAS!E14+'INOVACION AGRICOLA'!E14+'SERVICIOS ESCOLARES'!E14+'DESARROLLO ACADEMICO'!E14</f>
        <v>1213854.7200000002</v>
      </c>
      <c r="F14" s="85">
        <f>ELECTROMECANICA!F14+ALIMENTARIAS!F14+'INOVACION AGRICOLA'!F14+'SERVICIOS ESCOLARES'!F14+'DESARROLLO ACADEMICO'!F14</f>
        <v>1213854.7200000002</v>
      </c>
      <c r="G14" s="99">
        <f>ELECTROMECANICA!G14+ALIMENTARIAS!G14+'INOVACION AGRICOLA'!G14+'SERVICIOS ESCOLARES'!G14+'DESARROLLO ACADEMICO'!G14</f>
        <v>0</v>
      </c>
      <c r="H14" s="93">
        <f>ELECTROMECANICA!H14+ALIMENTARIAS!H14+'INOVACION AGRICOLA'!H14+'SERVICIOS ESCOLARES'!H14+'DESARROLLO ACADEMICO'!H14</f>
        <v>530858.15</v>
      </c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44566.619999999995</v>
      </c>
      <c r="E15" s="76">
        <f>ELECTROMECANICA!E15+ALIMENTARIAS!E15+'INOVACION AGRICOLA'!E15+'SERVICIOS ESCOLARES'!E15+'DESARROLLO ACADEMICO'!E15</f>
        <v>22283.309999999998</v>
      </c>
      <c r="F15" s="85">
        <f>ELECTROMECANICA!F15+ALIMENTARIAS!F15+'INOVACION AGRICOLA'!F15+'SERVICIOS ESCOLARES'!F15+'DESARROLLO ACADEMICO'!F15</f>
        <v>22283.309999999998</v>
      </c>
      <c r="G15" s="99">
        <f>ELECTROMECANICA!G15+ALIMENTARIAS!G15+'INOVACION AGRICOLA'!G15+'SERVICIOS ESCOLARES'!G15+'DESARROLLO ACADEMICO'!G15</f>
        <v>0</v>
      </c>
      <c r="H15" s="93">
        <f>ELECTROMECANICA!H15+ALIMENTARIAS!H15+'INOVACION AGRICOLA'!H15+'SERVICIOS ESCOLARES'!H15+'DESARROLLO ACADEMICO'!H15</f>
        <v>0</v>
      </c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294563.48000000004</v>
      </c>
      <c r="E16" s="76">
        <f>ELECTROMECANICA!E16+ALIMENTARIAS!E16+'INOVACION AGRICOLA'!E16+'SERVICIOS ESCOLARES'!E16+'DESARROLLO ACADEMICO'!E16</f>
        <v>136716.01</v>
      </c>
      <c r="F16" s="85">
        <f>ELECTROMECANICA!F16+ALIMENTARIAS!F16+'INOVACION AGRICOLA'!F16+'SERVICIOS ESCOLARES'!F16+'DESARROLLO ACADEMICO'!F16</f>
        <v>136716.01</v>
      </c>
      <c r="G16" s="99">
        <f>ELECTROMECANICA!G16+ALIMENTARIAS!G16+'INOVACION AGRICOLA'!G16+'SERVICIOS ESCOLARES'!G16+'DESARROLLO ACADEMICO'!G16</f>
        <v>0</v>
      </c>
      <c r="H16" s="93">
        <f>ELECTROMECANICA!H16+ALIMENTARIAS!H16+'INOVACION AGRICOLA'!H16+'SERVICIOS ESCOLARES'!H16+'DESARROLLO ACADEMICO'!H16</f>
        <v>21131.46</v>
      </c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692272.09</v>
      </c>
      <c r="E17" s="76">
        <f>ELECTROMECANICA!E17+ALIMENTARIAS!E17+'INOVACION AGRICOLA'!E17+'SERVICIOS ESCOLARES'!E17+'DESARROLLO ACADEMICO'!E17</f>
        <v>346192.99</v>
      </c>
      <c r="F17" s="85">
        <f>ELECTROMECANICA!F17+ALIMENTARIAS!F17+'INOVACION AGRICOLA'!F17+'SERVICIOS ESCOLARES'!F17+'DESARROLLO ACADEMICO'!F17</f>
        <v>227859.99000000002</v>
      </c>
      <c r="G17" s="99">
        <f>ELECTROMECANICA!G17+ALIMENTARIAS!G17+'INOVACION AGRICOLA'!G17+'SERVICIOS ESCOLARES'!G17+'DESARROLLO ACADEMICO'!G17</f>
        <v>0</v>
      </c>
      <c r="H17" s="93">
        <f>ELECTROMECANICA!H17+ALIMENTARIAS!H17+'INOVACION AGRICOLA'!H17+'SERVICIOS ESCOLARES'!H17+'DESARROLLO ACADEMICO'!H17</f>
        <v>118219.11</v>
      </c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95779.78</v>
      </c>
      <c r="E18" s="76">
        <f>ELECTROMECANICA!E18+ALIMENTARIAS!E18+'INOVACION AGRICOLA'!E18+'SERVICIOS ESCOLARES'!E18+'DESARROLLO ACADEMICO'!E18</f>
        <v>40734.720000000001</v>
      </c>
      <c r="F18" s="85">
        <f>ELECTROMECANICA!F18+ALIMENTARIAS!F18+'INOVACION AGRICOLA'!F18+'SERVICIOS ESCOLARES'!F18+'DESARROLLO ACADEMICO'!F18</f>
        <v>40734.720000000001</v>
      </c>
      <c r="G18" s="99">
        <f>ELECTROMECANICA!G18+ALIMENTARIAS!G18+'INOVACION AGRICOLA'!G18+'SERVICIOS ESCOLARES'!G18+'DESARROLLO ACADEMICO'!G18</f>
        <v>0</v>
      </c>
      <c r="H18" s="93">
        <f>ELECTROMECANICA!H18+ALIMENTARIAS!H18+'INOVACION AGRICOLA'!H18+'SERVICIOS ESCOLARES'!H18+'DESARROLLO ACADEMICO'!H18</f>
        <v>14310.34</v>
      </c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>
        <f>ELECTROMECANICA!E19+ALIMENTARIAS!E19+'INOVACION AGRICOLA'!E19+'SERVICIOS ESCOLARES'!E19+'DESARROLLO ACADEMICO'!E19</f>
        <v>0</v>
      </c>
      <c r="F19" s="85">
        <f>ELECTROMECANICA!F19+ALIMENTARIAS!F19+'INOVACION AGRICOLA'!F19+'SERVICIOS ESCOLARES'!F19+'DESARROLLO ACADEMICO'!F19</f>
        <v>0</v>
      </c>
      <c r="G19" s="99">
        <f>ELECTROMECANICA!G19+ALIMENTARIAS!G19+'INOVACION AGRICOLA'!G19+'SERVICIOS ESCOLARES'!G19+'DESARROLLO ACADEMICO'!G19</f>
        <v>0</v>
      </c>
      <c r="H19" s="93">
        <f>ELECTROMECANICA!H19+ALIMENTARIAS!H19+'INOVACION AGRICOLA'!H19+'SERVICIOS ESCOLARES'!H19+'DESARROLLO ACADEMICO'!H19</f>
        <v>0</v>
      </c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124970.90999999999</v>
      </c>
      <c r="E20" s="76">
        <f>ELECTROMECANICA!E20+ALIMENTARIAS!E20+'INOVACION AGRICOLA'!E20+'SERVICIOS ESCOLARES'!E20+'DESARROLLO ACADEMICO'!E20</f>
        <v>61522.189999999995</v>
      </c>
      <c r="F20" s="85">
        <f>ELECTROMECANICA!F20+ALIMENTARIAS!F20+'INOVACION AGRICOLA'!F20+'SERVICIOS ESCOLARES'!F20+'DESARROLLO ACADEMICO'!F20</f>
        <v>61522.189999999995</v>
      </c>
      <c r="G20" s="99">
        <f>ELECTROMECANICA!G20+ALIMENTARIAS!G20+'INOVACION AGRICOLA'!G20+'SERVICIOS ESCOLARES'!G20+'DESARROLLO ACADEMICO'!G20</f>
        <v>0</v>
      </c>
      <c r="H20" s="93">
        <f>ELECTROMECANICA!H20+ALIMENTARIAS!H20+'INOVACION AGRICOLA'!H20+'SERVICIOS ESCOLARES'!H20+'DESARROLLO ACADEMICO'!H20</f>
        <v>1926.5299999999997</v>
      </c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437397.47000000003</v>
      </c>
      <c r="E21" s="76">
        <f>ELECTROMECANICA!E21+ALIMENTARIAS!E21+'INOVACION AGRICOLA'!E21+'SERVICIOS ESCOLARES'!E21+'DESARROLLO ACADEMICO'!E21</f>
        <v>215327.69</v>
      </c>
      <c r="F21" s="85">
        <f>ELECTROMECANICA!F21+ALIMENTARIAS!F21+'INOVACION AGRICOLA'!F21+'SERVICIOS ESCOLARES'!F21+'DESARROLLO ACADEMICO'!F21</f>
        <v>215327.69</v>
      </c>
      <c r="G21" s="99">
        <f>ELECTROMECANICA!G21+ALIMENTARIAS!G21+'INOVACION AGRICOLA'!G21+'SERVICIOS ESCOLARES'!G21+'DESARROLLO ACADEMICO'!G21</f>
        <v>0</v>
      </c>
      <c r="H21" s="93">
        <f>ELECTROMECANICA!H21+ALIMENTARIAS!H21+'INOVACION AGRICOLA'!H21+'SERVICIOS ESCOLARES'!H21+'DESARROLLO ACADEMICO'!H21</f>
        <v>6742.09</v>
      </c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83314.03</v>
      </c>
      <c r="E22" s="76">
        <f>ELECTROMECANICA!E22+ALIMENTARIAS!E22+'INOVACION AGRICOLA'!E22+'SERVICIOS ESCOLARES'!E22+'DESARROLLO ACADEMICO'!E22</f>
        <v>41014.79</v>
      </c>
      <c r="F22" s="85">
        <f>ELECTROMECANICA!F22+ALIMENTARIAS!F22+'INOVACION AGRICOLA'!F22+'SERVICIOS ESCOLARES'!F22+'DESARROLLO ACADEMICO'!F22</f>
        <v>41014.79</v>
      </c>
      <c r="G22" s="99">
        <f>ELECTROMECANICA!G22+ALIMENTARIAS!G22+'INOVACION AGRICOLA'!G22+'SERVICIOS ESCOLARES'!G22+'DESARROLLO ACADEMICO'!G22</f>
        <v>0</v>
      </c>
      <c r="H22" s="93">
        <f>ELECTROMECANICA!H22+ALIMENTARIAS!H22+'INOVACION AGRICOLA'!H22+'SERVICIOS ESCOLARES'!H22+'DESARROLLO ACADEMICO'!H22</f>
        <v>1284.4499999999998</v>
      </c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375842.1</v>
      </c>
      <c r="E23" s="76">
        <f>ELECTROMECANICA!E23+ALIMENTARIAS!E23+'INOVACION AGRICOLA'!E23+'SERVICIOS ESCOLARES'!E23+'DESARROLLO ACADEMICO'!E23</f>
        <v>151458</v>
      </c>
      <c r="F23" s="85">
        <f>ELECTROMECANICA!F23+ALIMENTARIAS!F23+'INOVACION AGRICOLA'!F23+'SERVICIOS ESCOLARES'!F23+'DESARROLLO ACADEMICO'!F23</f>
        <v>151458</v>
      </c>
      <c r="G23" s="99">
        <f>ELECTROMECANICA!G23+ALIMENTARIAS!G23+'INOVACION AGRICOLA'!G23+'SERVICIOS ESCOLARES'!G23+'DESARROLLO ACADEMICO'!G23</f>
        <v>0</v>
      </c>
      <c r="H23" s="93">
        <f>ELECTROMECANICA!H23+ALIMENTARIAS!H23+'INOVACION AGRICOLA'!H23+'SERVICIOS ESCOLARES'!H23+'DESARROLLO ACADEMICO'!H23</f>
        <v>72926.100000000006</v>
      </c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>
        <f>ELECTROMECANICA!E24+ALIMENTARIAS!E24+'INOVACION AGRICOLA'!E24+'SERVICIOS ESCOLARES'!E24+'DESARROLLO ACADEMICO'!E24</f>
        <v>0</v>
      </c>
      <c r="F24" s="85">
        <f>ELECTROMECANICA!F24+ALIMENTARIAS!F24+'INOVACION AGRICOLA'!F24+'SERVICIOS ESCOLARES'!F24+'DESARROLLO ACADEMICO'!F24</f>
        <v>0</v>
      </c>
      <c r="G24" s="99">
        <f>ELECTROMECANICA!G24+ALIMENTARIAS!G24+'INOVACION AGRICOLA'!G24+'SERVICIOS ESCOLARES'!G24+'DESARROLLO ACADEMICO'!G24</f>
        <v>0</v>
      </c>
      <c r="H24" s="93">
        <f>ELECTROMECANICA!H24+ALIMENTARIAS!H24+'INOVACION AGRICOLA'!H24+'SERVICIOS ESCOLARES'!H24+'DESARROLLO ACADEMICO'!H24</f>
        <v>0</v>
      </c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77241.210000000006</v>
      </c>
      <c r="E25" s="76">
        <f>ELECTROMECANICA!E25+ALIMENTARIAS!E25+'INOVACION AGRICOLA'!E25+'SERVICIOS ESCOLARES'!E25+'DESARROLLO ACADEMICO'!E25</f>
        <v>77241.210000000006</v>
      </c>
      <c r="F25" s="85">
        <f>ELECTROMECANICA!F25+ALIMENTARIAS!F25+'INOVACION AGRICOLA'!F25+'SERVICIOS ESCOLARES'!F25+'DESARROLLO ACADEMICO'!F25</f>
        <v>0</v>
      </c>
      <c r="G25" s="99">
        <f>ELECTROMECANICA!G25+ALIMENTARIAS!G25+'INOVACION AGRICOLA'!G25+'SERVICIOS ESCOLARES'!G25+'DESARROLLO ACADEMICO'!G25</f>
        <v>0</v>
      </c>
      <c r="H25" s="93">
        <f>ELECTROMECANICA!H25+ALIMENTARIAS!H25+'INOVACION AGRICOLA'!H25+'SERVICIOS ESCOLARES'!H25+'DESARROLLO ACADEMICO'!H25</f>
        <v>0</v>
      </c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25930</v>
      </c>
      <c r="E26" s="76">
        <f>ELECTROMECANICA!E26+ALIMENTARIAS!E26+'INOVACION AGRICOLA'!E26+'SERVICIOS ESCOLARES'!E26+'DESARROLLO ACADEMICO'!E26</f>
        <v>12965</v>
      </c>
      <c r="F26" s="85">
        <f>ELECTROMECANICA!F26+ALIMENTARIAS!F26+'INOVACION AGRICOLA'!F26+'SERVICIOS ESCOLARES'!F26+'DESARROLLO ACADEMICO'!F26</f>
        <v>12965</v>
      </c>
      <c r="G26" s="99">
        <f>ELECTROMECANICA!G26+ALIMENTARIAS!G26+'INOVACION AGRICOLA'!G26+'SERVICIOS ESCOLARES'!G26+'DESARROLLO ACADEMICO'!G26</f>
        <v>0</v>
      </c>
      <c r="H26" s="93">
        <f>ELECTROMECANICA!H26+ALIMENTARIAS!H26+'INOVACION AGRICOLA'!H26+'SERVICIOS ESCOLARES'!H26+'DESARROLLO ACADEMICO'!H26</f>
        <v>0</v>
      </c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251921.28</v>
      </c>
      <c r="E27" s="76">
        <f>ELECTROMECANICA!E27+ALIMENTARIAS!E27+'INOVACION AGRICOLA'!E27+'SERVICIOS ESCOLARES'!E27+'DESARROLLO ACADEMICO'!E27</f>
        <v>121338.53</v>
      </c>
      <c r="F27" s="85">
        <f>ELECTROMECANICA!F27+ALIMENTARIAS!F27+'INOVACION AGRICOLA'!F27+'SERVICIOS ESCOLARES'!F27+'DESARROLLO ACADEMICO'!F27</f>
        <v>121338.53</v>
      </c>
      <c r="G27" s="99">
        <f>ELECTROMECANICA!G27+ALIMENTARIAS!G27+'INOVACION AGRICOLA'!G27+'SERVICIOS ESCOLARES'!G27+'DESARROLLO ACADEMICO'!G27</f>
        <v>0</v>
      </c>
      <c r="H27" s="93">
        <f>ELECTROMECANICA!H27+ALIMENTARIAS!H27+'INOVACION AGRICOLA'!H27+'SERVICIOS ESCOLARES'!H27+'DESARROLLO ACADEMICO'!H27</f>
        <v>9244.2199999999993</v>
      </c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7316155.7800000012</v>
      </c>
      <c r="E28" s="65">
        <f t="shared" si="1"/>
        <v>3367543.7700000005</v>
      </c>
      <c r="F28" s="65">
        <f t="shared" si="1"/>
        <v>3171969.5600000005</v>
      </c>
      <c r="G28" s="65">
        <f t="shared" si="1"/>
        <v>0</v>
      </c>
      <c r="H28" s="65">
        <f t="shared" si="1"/>
        <v>776642.44999999984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51000</v>
      </c>
      <c r="E29" s="76">
        <f>ELECTROMECANICA!E29+ALIMENTARIAS!E29+'INOVACION AGRICOLA'!E29+'SERVICIOS ESCOLARES'!E29+'DESARROLLO ACADEMICO'!E29</f>
        <v>37000</v>
      </c>
      <c r="F29" s="85">
        <f>ELECTROMECANICA!F29+ALIMENTARIAS!F29+'INOVACION AGRICOLA'!F29+'SERVICIOS ESCOLARES'!F29+'DESARROLLO ACADEMICO'!F29</f>
        <v>4000</v>
      </c>
      <c r="G29" s="99">
        <f>ELECTROMECANICA!G29+ALIMENTARIAS!G29+'INOVACION AGRICOLA'!G29+'SERVICIOS ESCOLARES'!G29+'DESARROLLO ACADEMICO'!G29</f>
        <v>0</v>
      </c>
      <c r="H29" s="93">
        <f>ELECTROMECANICA!H29+ALIMENTARIAS!H29+'INOVACION AGRICOLA'!H29+'SERVICIOS ESCOLARES'!H29+'DESARROLLO ACADEMICO'!H29</f>
        <v>10000</v>
      </c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6">
        <f>ELECTROMECANICA!E30+ALIMENTARIAS!E30+'INOVACION AGRICOLA'!E30+'SERVICIOS ESCOLARES'!E30+'DESARROLLO ACADEMICO'!E30</f>
        <v>0</v>
      </c>
      <c r="F30" s="85">
        <f>ELECTROMECANICA!F30+ALIMENTARIAS!F30+'INOVACION AGRICOLA'!F30+'SERVICIOS ESCOLARES'!F30+'DESARROLLO ACADEMICO'!F30</f>
        <v>0</v>
      </c>
      <c r="G30" s="99">
        <f>ELECTROMECANICA!G30+ALIMENTARIAS!G30+'INOVACION AGRICOLA'!G30+'SERVICIOS ESCOLARES'!G30+'DESARROLLO ACADEMICO'!G30</f>
        <v>0</v>
      </c>
      <c r="H30" s="93">
        <f>ELECTROMECANICA!H30+ALIMENTARIAS!H30+'INOVACION AGRICOLA'!H30+'SERVICIOS ESCOLARES'!H30+'DESARROLLO ACADEMICO'!H30</f>
        <v>0</v>
      </c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15000</v>
      </c>
      <c r="E31" s="76">
        <f>ELECTROMECANICA!E31+ALIMENTARIAS!E31+'INOVACION AGRICOLA'!E31+'SERVICIOS ESCOLARES'!E31+'DESARROLLO ACADEMICO'!E31</f>
        <v>0</v>
      </c>
      <c r="F31" s="85">
        <f>ELECTROMECANICA!F31+ALIMENTARIAS!F31+'INOVACION AGRICOLA'!F31+'SERVICIOS ESCOLARES'!F31+'DESARROLLO ACADEMICO'!F31</f>
        <v>0</v>
      </c>
      <c r="G31" s="99">
        <f>ELECTROMECANICA!G31+ALIMENTARIAS!G31+'INOVACION AGRICOLA'!G31+'SERVICIOS ESCOLARES'!G31+'DESARROLLO ACADEMICO'!G31</f>
        <v>0</v>
      </c>
      <c r="H31" s="93">
        <f>ELECTROMECANICA!H31+ALIMENTARIAS!H31+'INOVACION AGRICOLA'!H31+'SERVICIOS ESCOLARES'!H31+'DESARROLLO ACADEMICO'!H31</f>
        <v>15000</v>
      </c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409011.25999999995</v>
      </c>
      <c r="E32" s="76">
        <f>ELECTROMECANICA!E32+ALIMENTARIAS!E32+'INOVACION AGRICOLA'!E32+'SERVICIOS ESCOLARES'!E32+'DESARROLLO ACADEMICO'!E32</f>
        <v>0</v>
      </c>
      <c r="F32" s="85">
        <f>ELECTROMECANICA!F32+ALIMENTARIAS!F32+'INOVACION AGRICOLA'!F32+'SERVICIOS ESCOLARES'!F32+'DESARROLLO ACADEMICO'!F32</f>
        <v>0</v>
      </c>
      <c r="G32" s="99">
        <f>ELECTROMECANICA!G32+ALIMENTARIAS!G32+'INOVACION AGRICOLA'!G32+'SERVICIOS ESCOLARES'!G32+'DESARROLLO ACADEMICO'!G32</f>
        <v>0</v>
      </c>
      <c r="H32" s="93">
        <f>ELECTROMECANICA!H32+ALIMENTARIAS!H32+'INOVACION AGRICOLA'!H32+'SERVICIOS ESCOLARES'!H32+'DESARROLLO ACADEMICO'!H32</f>
        <v>409011.25999999995</v>
      </c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6">
        <f>ELECTROMECANICA!E33+ALIMENTARIAS!E33+'INOVACION AGRICOLA'!E33+'SERVICIOS ESCOLARES'!E33+'DESARROLLO ACADEMICO'!E33</f>
        <v>0</v>
      </c>
      <c r="F33" s="85">
        <f>ELECTROMECANICA!F33+ALIMENTARIAS!F33+'INOVACION AGRICOLA'!F33+'SERVICIOS ESCOLARES'!F33+'DESARROLLO ACADEMICO'!F33</f>
        <v>0</v>
      </c>
      <c r="G33" s="99">
        <f>ELECTROMECANICA!G33+ALIMENTARIAS!G33+'INOVACION AGRICOLA'!G33+'SERVICIOS ESCOLARES'!G33+'DESARROLLO ACADEMICO'!G33</f>
        <v>0</v>
      </c>
      <c r="H33" s="93">
        <f>ELECTROMECANICA!H33+ALIMENTARIAS!H33+'INOVACION AGRICOLA'!H33+'SERVICIOS ESCOLARES'!H33+'DESARROLLO ACADEMICO'!H33</f>
        <v>0</v>
      </c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8000</v>
      </c>
      <c r="E34" s="76">
        <f>ELECTROMECANICA!E34+ALIMENTARIAS!E34+'INOVACION AGRICOLA'!E34+'SERVICIOS ESCOLARES'!E34+'DESARROLLO ACADEMICO'!E34</f>
        <v>4000</v>
      </c>
      <c r="F34" s="85">
        <f>ELECTROMECANICA!F34+ALIMENTARIAS!F34+'INOVACION AGRICOLA'!F34+'SERVICIOS ESCOLARES'!F34+'DESARROLLO ACADEMICO'!F34</f>
        <v>4000</v>
      </c>
      <c r="G34" s="99">
        <f>ELECTROMECANICA!G34+ALIMENTARIAS!G34+'INOVACION AGRICOLA'!G34+'SERVICIOS ESCOLARES'!G34+'DESARROLLO ACADEMICO'!G34</f>
        <v>0</v>
      </c>
      <c r="H34" s="93">
        <f>ELECTROMECANICA!H34+ALIMENTARIAS!H34+'INOVACION AGRICOLA'!H34+'SERVICIOS ESCOLARES'!H34+'DESARROLLO ACADEMICO'!H34</f>
        <v>0</v>
      </c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16000</v>
      </c>
      <c r="E35" s="76">
        <f>ELECTROMECANICA!E35+ALIMENTARIAS!E35+'INOVACION AGRICOLA'!E35+'SERVICIOS ESCOLARES'!E35+'DESARROLLO ACADEMICO'!E35</f>
        <v>8000</v>
      </c>
      <c r="F35" s="85">
        <f>ELECTROMECANICA!F35+ALIMENTARIAS!F35+'INOVACION AGRICOLA'!F35+'SERVICIOS ESCOLARES'!F35+'DESARROLLO ACADEMICO'!F35</f>
        <v>8000</v>
      </c>
      <c r="G35" s="99">
        <f>ELECTROMECANICA!G35+ALIMENTARIAS!G35+'INOVACION AGRICOLA'!G35+'SERVICIOS ESCOLARES'!G35+'DESARROLLO ACADEMICO'!G35</f>
        <v>0</v>
      </c>
      <c r="H35" s="93">
        <f>ELECTROMECANICA!H35+ALIMENTARIAS!H35+'INOVACION AGRICOLA'!H35+'SERVICIOS ESCOLARES'!H35+'DESARROLLO ACADEMICO'!H35</f>
        <v>0</v>
      </c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6">
        <f>ELECTROMECANICA!E36+ALIMENTARIAS!E36+'INOVACION AGRICOLA'!E36+'SERVICIOS ESCOLARES'!E36+'DESARROLLO ACADEMICO'!E36</f>
        <v>0</v>
      </c>
      <c r="F36" s="85">
        <f>ELECTROMECANICA!F36+ALIMENTARIAS!F36+'INOVACION AGRICOLA'!F36+'SERVICIOS ESCOLARES'!F36+'DESARROLLO ACADEMICO'!F36</f>
        <v>0</v>
      </c>
      <c r="G36" s="99">
        <f>ELECTROMECANICA!G36+ALIMENTARIAS!G36+'INOVACION AGRICOLA'!G36+'SERVICIOS ESCOLARES'!G36+'DESARROLLO ACADEMICO'!G36</f>
        <v>0</v>
      </c>
      <c r="H36" s="93">
        <f>ELECTROMECANICA!H36+ALIMENTARIAS!H36+'INOVACION AGRICOLA'!H36+'SERVICIOS ESCOLARES'!H36+'DESARROLLO ACADEMICO'!H36</f>
        <v>0</v>
      </c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16000</v>
      </c>
      <c r="E37" s="76">
        <f>ELECTROMECANICA!E37+ALIMENTARIAS!E37+'INOVACION AGRICOLA'!E37+'SERVICIOS ESCOLARES'!E37+'DESARROLLO ACADEMICO'!E37</f>
        <v>5500</v>
      </c>
      <c r="F37" s="85">
        <f>ELECTROMECANICA!F37+ALIMENTARIAS!F37+'INOVACION AGRICOLA'!F37+'SERVICIOS ESCOLARES'!F37+'DESARROLLO ACADEMICO'!F37</f>
        <v>5500</v>
      </c>
      <c r="G37" s="99">
        <f>ELECTROMECANICA!G37+ALIMENTARIAS!G37+'INOVACION AGRICOLA'!G37+'SERVICIOS ESCOLARES'!G37+'DESARROLLO ACADEMICO'!G37</f>
        <v>0</v>
      </c>
      <c r="H37" s="93">
        <f>ELECTROMECANICA!H37+ALIMENTARIAS!H37+'INOVACION AGRICOLA'!H37+'SERVICIOS ESCOLARES'!H37+'DESARROLLO ACADEMICO'!H37</f>
        <v>5000</v>
      </c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6">
        <f>ELECTROMECANICA!E38+ALIMENTARIAS!E38+'INOVACION AGRICOLA'!E38+'SERVICIOS ESCOLARES'!E38+'DESARROLLO ACADEMICO'!E38</f>
        <v>0</v>
      </c>
      <c r="F38" s="85">
        <f>ELECTROMECANICA!F38+ALIMENTARIAS!F38+'INOVACION AGRICOLA'!F38+'SERVICIOS ESCOLARES'!F38+'DESARROLLO ACADEMICO'!F38</f>
        <v>0</v>
      </c>
      <c r="G38" s="99">
        <f>ELECTROMECANICA!G38+ALIMENTARIAS!G38+'INOVACION AGRICOLA'!G38+'SERVICIOS ESCOLARES'!G38+'DESARROLLO ACADEMICO'!G38</f>
        <v>0</v>
      </c>
      <c r="H38" s="93">
        <f>ELECTROMECANICA!H38+ALIMENTARIAS!H38+'INOVACION AGRICOLA'!H38+'SERVICIOS ESCOLARES'!H38+'DESARROLLO ACADEMICO'!H38</f>
        <v>0</v>
      </c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6">
        <f>ELECTROMECANICA!E39+ALIMENTARIAS!E39+'INOVACION AGRICOLA'!E39+'SERVICIOS ESCOLARES'!E39+'DESARROLLO ACADEMICO'!E39</f>
        <v>0</v>
      </c>
      <c r="F39" s="85">
        <f>ELECTROMECANICA!F39+ALIMENTARIAS!F39+'INOVACION AGRICOLA'!F39+'SERVICIOS ESCOLARES'!F39+'DESARROLLO ACADEMICO'!F39</f>
        <v>0</v>
      </c>
      <c r="G39" s="99">
        <f>ELECTROMECANICA!G39+ALIMENTARIAS!G39+'INOVACION AGRICOLA'!G39+'SERVICIOS ESCOLARES'!G39+'DESARROLLO ACADEMICO'!G39</f>
        <v>0</v>
      </c>
      <c r="H39" s="93">
        <f>ELECTROMECANICA!H39+ALIMENTARIAS!H39+'INOVACION AGRICOLA'!H39+'SERVICIOS ESCOLARES'!H39+'DESARROLLO ACADEMICO'!H39</f>
        <v>0</v>
      </c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6">
        <f>ELECTROMECANICA!E40+ALIMENTARIAS!E40+'INOVACION AGRICOLA'!E40+'SERVICIOS ESCOLARES'!E40+'DESARROLLO ACADEMICO'!E40</f>
        <v>0</v>
      </c>
      <c r="F40" s="85">
        <f>ELECTROMECANICA!F40+ALIMENTARIAS!F40+'INOVACION AGRICOLA'!F40+'SERVICIOS ESCOLARES'!F40+'DESARROLLO ACADEMICO'!F40</f>
        <v>0</v>
      </c>
      <c r="G40" s="99">
        <f>ELECTROMECANICA!G40+ALIMENTARIAS!G40+'INOVACION AGRICOLA'!G40+'SERVICIOS ESCOLARES'!G40+'DESARROLLO ACADEMICO'!G40</f>
        <v>0</v>
      </c>
      <c r="H40" s="93">
        <f>ELECTROMECANICA!H40+ALIMENTARIAS!H40+'INOVACION AGRICOLA'!H40+'SERVICIOS ESCOLARES'!H40+'DESARROLLO ACADEMICO'!H40</f>
        <v>0</v>
      </c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6">
        <f>ELECTROMECANICA!E41+ALIMENTARIAS!E41+'INOVACION AGRICOLA'!E41+'SERVICIOS ESCOLARES'!E41+'DESARROLLO ACADEMICO'!E41</f>
        <v>0</v>
      </c>
      <c r="F41" s="85">
        <f>ELECTROMECANICA!F41+ALIMENTARIAS!F41+'INOVACION AGRICOLA'!F41+'SERVICIOS ESCOLARES'!F41+'DESARROLLO ACADEMICO'!F41</f>
        <v>0</v>
      </c>
      <c r="G41" s="99">
        <f>ELECTROMECANICA!G41+ALIMENTARIAS!G41+'INOVACION AGRICOLA'!G41+'SERVICIOS ESCOLARES'!G41+'DESARROLLO ACADEMICO'!G41</f>
        <v>0</v>
      </c>
      <c r="H41" s="93">
        <f>ELECTROMECANICA!H41+ALIMENTARIAS!H41+'INOVACION AGRICOLA'!H41+'SERVICIOS ESCOLARES'!H41+'DESARROLLO ACADEMICO'!H41</f>
        <v>0</v>
      </c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6">
        <f>ELECTROMECANICA!E42+ALIMENTARIAS!E42+'INOVACION AGRICOLA'!E42+'SERVICIOS ESCOLARES'!E42+'DESARROLLO ACADEMICO'!E42</f>
        <v>0</v>
      </c>
      <c r="F42" s="85">
        <f>ELECTROMECANICA!F42+ALIMENTARIAS!F42+'INOVACION AGRICOLA'!F42+'SERVICIOS ESCOLARES'!F42+'DESARROLLO ACADEMICO'!F42</f>
        <v>0</v>
      </c>
      <c r="G42" s="99">
        <f>ELECTROMECANICA!G42+ALIMENTARIAS!G42+'INOVACION AGRICOLA'!G42+'SERVICIOS ESCOLARES'!G42+'DESARROLLO ACADEMICO'!G42</f>
        <v>0</v>
      </c>
      <c r="H42" s="93">
        <f>ELECTROMECANICA!H42+ALIMENTARIAS!H42+'INOVACION AGRICOLA'!H42+'SERVICIOS ESCOLARES'!H42+'DESARROLLO ACADEMICO'!H42</f>
        <v>0</v>
      </c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10000</v>
      </c>
      <c r="E43" s="76">
        <f>ELECTROMECANICA!E43+ALIMENTARIAS!E43+'INOVACION AGRICOLA'!E43+'SERVICIOS ESCOLARES'!E43+'DESARROLLO ACADEMICO'!E43</f>
        <v>5000</v>
      </c>
      <c r="F43" s="85">
        <f>ELECTROMECANICA!F43+ALIMENTARIAS!F43+'INOVACION AGRICOLA'!F43+'SERVICIOS ESCOLARES'!F43+'DESARROLLO ACADEMICO'!F43</f>
        <v>5000</v>
      </c>
      <c r="G43" s="99">
        <f>ELECTROMECANICA!G43+ALIMENTARIAS!G43+'INOVACION AGRICOLA'!G43+'SERVICIOS ESCOLARES'!G43+'DESARROLLO ACADEMICO'!G43</f>
        <v>0</v>
      </c>
      <c r="H43" s="93">
        <f>ELECTROMECANICA!H43+ALIMENTARIAS!H43+'INOVACION AGRICOLA'!H43+'SERVICIOS ESCOLARES'!H43+'DESARROLLO ACADEMICO'!H43</f>
        <v>0</v>
      </c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21000</v>
      </c>
      <c r="E44" s="76">
        <f>ELECTROMECANICA!E44+ALIMENTARIAS!E44+'INOVACION AGRICOLA'!E44+'SERVICIOS ESCOLARES'!E44+'DESARROLLO ACADEMICO'!E44</f>
        <v>3000</v>
      </c>
      <c r="F44" s="85">
        <f>ELECTROMECANICA!F44+ALIMENTARIAS!F44+'INOVACION AGRICOLA'!F44+'SERVICIOS ESCOLARES'!F44+'DESARROLLO ACADEMICO'!F44</f>
        <v>3000</v>
      </c>
      <c r="G44" s="99">
        <f>ELECTROMECANICA!G44+ALIMENTARIAS!G44+'INOVACION AGRICOLA'!G44+'SERVICIOS ESCOLARES'!G44+'DESARROLLO ACADEMICO'!G44</f>
        <v>0</v>
      </c>
      <c r="H44" s="93">
        <f>ELECTROMECANICA!H44+ALIMENTARIAS!H44+'INOVACION AGRICOLA'!H44+'SERVICIOS ESCOLARES'!H44+'DESARROLLO ACADEMICO'!H44</f>
        <v>15000</v>
      </c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6">
        <f>ELECTROMECANICA!E45+ALIMENTARIAS!E45+'INOVACION AGRICOLA'!E45+'SERVICIOS ESCOLARES'!E45+'DESARROLLO ACADEMICO'!E45</f>
        <v>0</v>
      </c>
      <c r="F45" s="85">
        <f>ELECTROMECANICA!F45+ALIMENTARIAS!F45+'INOVACION AGRICOLA'!F45+'SERVICIOS ESCOLARES'!F45+'DESARROLLO ACADEMICO'!F45</f>
        <v>0</v>
      </c>
      <c r="G45" s="99">
        <f>ELECTROMECANICA!G45+ALIMENTARIAS!G45+'INOVACION AGRICOLA'!G45+'SERVICIOS ESCOLARES'!G45+'DESARROLLO ACADEMICO'!G45</f>
        <v>0</v>
      </c>
      <c r="H45" s="93">
        <f>ELECTROMECANICA!H45+ALIMENTARIAS!H45+'INOVACION AGRICOLA'!H45+'SERVICIOS ESCOLARES'!H45+'DESARROLLO ACADEMICO'!H45</f>
        <v>0</v>
      </c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6">
        <f>ELECTROMECANICA!E46+ALIMENTARIAS!E46+'INOVACION AGRICOLA'!E46+'SERVICIOS ESCOLARES'!E46+'DESARROLLO ACADEMICO'!E46</f>
        <v>0</v>
      </c>
      <c r="F46" s="85">
        <f>ELECTROMECANICA!F46+ALIMENTARIAS!F46+'INOVACION AGRICOLA'!F46+'SERVICIOS ESCOLARES'!F46+'DESARROLLO ACADEMICO'!F46</f>
        <v>0</v>
      </c>
      <c r="G46" s="99">
        <f>ELECTROMECANICA!G46+ALIMENTARIAS!G46+'INOVACION AGRICOLA'!G46+'SERVICIOS ESCOLARES'!G46+'DESARROLLO ACADEMICO'!G46</f>
        <v>0</v>
      </c>
      <c r="H46" s="93">
        <f>ELECTROMECANICA!H46+ALIMENTARIAS!H46+'INOVACION AGRICOLA'!H46+'SERVICIOS ESCOLARES'!H46+'DESARROLLO ACADEMICO'!H46</f>
        <v>0</v>
      </c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40000</v>
      </c>
      <c r="E47" s="76">
        <f>ELECTROMECANICA!E47+ALIMENTARIAS!E47+'INOVACION AGRICOLA'!E47+'SERVICIOS ESCOLARES'!E47+'DESARROLLO ACADEMICO'!E47</f>
        <v>20000</v>
      </c>
      <c r="F47" s="85">
        <f>ELECTROMECANICA!F47+ALIMENTARIAS!F47+'INOVACION AGRICOLA'!F47+'SERVICIOS ESCOLARES'!F47+'DESARROLLO ACADEMICO'!F47</f>
        <v>20000</v>
      </c>
      <c r="G47" s="99">
        <f>ELECTROMECANICA!G47+ALIMENTARIAS!G47+'INOVACION AGRICOLA'!G47+'SERVICIOS ESCOLARES'!G47+'DESARROLLO ACADEMICO'!G47</f>
        <v>0</v>
      </c>
      <c r="H47" s="93">
        <f>ELECTROMECANICA!H47+ALIMENTARIAS!H47+'INOVACION AGRICOLA'!H47+'SERVICIOS ESCOLARES'!H47+'DESARROLLO ACADEMICO'!H47</f>
        <v>0</v>
      </c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10000</v>
      </c>
      <c r="E48" s="76">
        <f>ELECTROMECANICA!E48+ALIMENTARIAS!E48+'INOVACION AGRICOLA'!E48+'SERVICIOS ESCOLARES'!E48+'DESARROLLO ACADEMICO'!E48</f>
        <v>5000</v>
      </c>
      <c r="F48" s="85">
        <f>ELECTROMECANICA!F48+ALIMENTARIAS!F48+'INOVACION AGRICOLA'!F48+'SERVICIOS ESCOLARES'!F48+'DESARROLLO ACADEMICO'!F48</f>
        <v>5000</v>
      </c>
      <c r="G48" s="99">
        <f>ELECTROMECANICA!G48+ALIMENTARIAS!G48+'INOVACION AGRICOLA'!G48+'SERVICIOS ESCOLARES'!G48+'DESARROLLO ACADEMICO'!G48</f>
        <v>0</v>
      </c>
      <c r="H48" s="93">
        <f>ELECTROMECANICA!H48+ALIMENTARIAS!H48+'INOVACION AGRICOLA'!H48+'SERVICIOS ESCOLARES'!H48+'DESARROLLO ACADEMICO'!H48</f>
        <v>0</v>
      </c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6">
        <f>ELECTROMECANICA!E49+ALIMENTARIAS!E49+'INOVACION AGRICOLA'!E49+'SERVICIOS ESCOLARES'!E49+'DESARROLLO ACADEMICO'!E49</f>
        <v>0</v>
      </c>
      <c r="F49" s="85">
        <f>ELECTROMECANICA!F49+ALIMENTARIAS!F49+'INOVACION AGRICOLA'!F49+'SERVICIOS ESCOLARES'!F49+'DESARROLLO ACADEMICO'!F49</f>
        <v>0</v>
      </c>
      <c r="G49" s="99">
        <f>ELECTROMECANICA!G49+ALIMENTARIAS!G49+'INOVACION AGRICOLA'!G49+'SERVICIOS ESCOLARES'!G49+'DESARROLLO ACADEMICO'!G49</f>
        <v>0</v>
      </c>
      <c r="H49" s="93">
        <f>ELECTROMECANICA!H49+ALIMENTARIAS!H49+'INOVACION AGRICOLA'!H49+'SERVICIOS ESCOLARES'!H49+'DESARROLLO ACADEMICO'!H49</f>
        <v>0</v>
      </c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6">
        <f>ELECTROMECANICA!E50+ALIMENTARIAS!E50+'INOVACION AGRICOLA'!E50+'SERVICIOS ESCOLARES'!E50+'DESARROLLO ACADEMICO'!E50</f>
        <v>0</v>
      </c>
      <c r="F50" s="85">
        <f>ELECTROMECANICA!F50+ALIMENTARIAS!F50+'INOVACION AGRICOLA'!F50+'SERVICIOS ESCOLARES'!F50+'DESARROLLO ACADEMICO'!F50</f>
        <v>0</v>
      </c>
      <c r="G50" s="99">
        <f>ELECTROMECANICA!G50+ALIMENTARIAS!G50+'INOVACION AGRICOLA'!G50+'SERVICIOS ESCOLARES'!G50+'DESARROLLO ACADEMICO'!G50</f>
        <v>0</v>
      </c>
      <c r="H50" s="93">
        <f>ELECTROMECANICA!H50+ALIMENTARIAS!H50+'INOVACION AGRICOLA'!H50+'SERVICIOS ESCOLARES'!H50+'DESARROLLO ACADEMICO'!H50</f>
        <v>0</v>
      </c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56000</v>
      </c>
      <c r="E51" s="76">
        <f>ELECTROMECANICA!E51+ALIMENTARIAS!E51+'INOVACION AGRICOLA'!E51+'SERVICIOS ESCOLARES'!E51+'DESARROLLO ACADEMICO'!E51</f>
        <v>18000</v>
      </c>
      <c r="F51" s="85">
        <f>ELECTROMECANICA!F51+ALIMENTARIAS!F51+'INOVACION AGRICOLA'!F51+'SERVICIOS ESCOLARES'!F51+'DESARROLLO ACADEMICO'!F51</f>
        <v>18000</v>
      </c>
      <c r="G51" s="99">
        <f>ELECTROMECANICA!G51+ALIMENTARIAS!G51+'INOVACION AGRICOLA'!G51+'SERVICIOS ESCOLARES'!G51+'DESARROLLO ACADEMICO'!G51</f>
        <v>0</v>
      </c>
      <c r="H51" s="93">
        <f>ELECTROMECANICA!H51+ALIMENTARIAS!H51+'INOVACION AGRICOLA'!H51+'SERVICIOS ESCOLARES'!H51+'DESARROLLO ACADEMICO'!H51</f>
        <v>20000</v>
      </c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38000</v>
      </c>
      <c r="E52" s="76">
        <f>ELECTROMECANICA!E52+ALIMENTARIAS!E52+'INOVACION AGRICOLA'!E52+'SERVICIOS ESCOLARES'!E52+'DESARROLLO ACADEMICO'!E52</f>
        <v>9000</v>
      </c>
      <c r="F52" s="85">
        <f>ELECTROMECANICA!F52+ALIMENTARIAS!F52+'INOVACION AGRICOLA'!F52+'SERVICIOS ESCOLARES'!F52+'DESARROLLO ACADEMICO'!F52</f>
        <v>9000</v>
      </c>
      <c r="G52" s="99">
        <f>ELECTROMECANICA!G52+ALIMENTARIAS!G52+'INOVACION AGRICOLA'!G52+'SERVICIOS ESCOLARES'!G52+'DESARROLLO ACADEMICO'!G52</f>
        <v>0</v>
      </c>
      <c r="H52" s="93">
        <f>ELECTROMECANICA!H52+ALIMENTARIAS!H52+'INOVACION AGRICOLA'!H52+'SERVICIOS ESCOLARES'!H52+'DESARROLLO ACADEMICO'!H52</f>
        <v>20000</v>
      </c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40000</v>
      </c>
      <c r="E53" s="76">
        <f>ELECTROMECANICA!E53+ALIMENTARIAS!E53+'INOVACION AGRICOLA'!E53+'SERVICIOS ESCOLARES'!E53+'DESARROLLO ACADEMICO'!E53</f>
        <v>20000</v>
      </c>
      <c r="F53" s="85">
        <f>ELECTROMECANICA!F53+ALIMENTARIAS!F53+'INOVACION AGRICOLA'!F53+'SERVICIOS ESCOLARES'!F53+'DESARROLLO ACADEMICO'!F53</f>
        <v>20000</v>
      </c>
      <c r="G53" s="99">
        <f>ELECTROMECANICA!G53+ALIMENTARIAS!G53+'INOVACION AGRICOLA'!G53+'SERVICIOS ESCOLARES'!G53+'DESARROLLO ACADEMICO'!G53</f>
        <v>0</v>
      </c>
      <c r="H53" s="93">
        <f>ELECTROMECANICA!H53+ALIMENTARIAS!H53+'INOVACION AGRICOLA'!H53+'SERVICIOS ESCOLARES'!H53+'DESARROLLO ACADEMICO'!H53</f>
        <v>0</v>
      </c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6">
        <f>ELECTROMECANICA!E54+ALIMENTARIAS!E54+'INOVACION AGRICOLA'!E54+'SERVICIOS ESCOLARES'!E54+'DESARROLLO ACADEMICO'!E54</f>
        <v>0</v>
      </c>
      <c r="F54" s="85">
        <f>ELECTROMECANICA!F54+ALIMENTARIAS!F54+'INOVACION AGRICOLA'!F54+'SERVICIOS ESCOLARES'!F54+'DESARROLLO ACADEMICO'!F54</f>
        <v>0</v>
      </c>
      <c r="G54" s="99">
        <f>ELECTROMECANICA!G54+ALIMENTARIAS!G54+'INOVACION AGRICOLA'!G54+'SERVICIOS ESCOLARES'!G54+'DESARROLLO ACADEMICO'!G54</f>
        <v>0</v>
      </c>
      <c r="H54" s="93">
        <f>ELECTROMECANICA!H54+ALIMENTARIAS!H54+'INOVACION AGRICOLA'!H54+'SERVICIOS ESCOLARES'!H54+'DESARROLLO ACADEMICO'!H54</f>
        <v>0</v>
      </c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2000</v>
      </c>
      <c r="E55" s="76">
        <f>ELECTROMECANICA!E55+ALIMENTARIAS!E55+'INOVACION AGRICOLA'!E55+'SERVICIOS ESCOLARES'!E55+'DESARROLLO ACADEMICO'!E55</f>
        <v>1000</v>
      </c>
      <c r="F55" s="85">
        <f>ELECTROMECANICA!F55+ALIMENTARIAS!F55+'INOVACION AGRICOLA'!F55+'SERVICIOS ESCOLARES'!F55+'DESARROLLO ACADEMICO'!F55</f>
        <v>1000</v>
      </c>
      <c r="G55" s="99">
        <f>ELECTROMECANICA!G55+ALIMENTARIAS!G55+'INOVACION AGRICOLA'!G55+'SERVICIOS ESCOLARES'!G55+'DESARROLLO ACADEMICO'!G55</f>
        <v>0</v>
      </c>
      <c r="H55" s="93">
        <f>ELECTROMECANICA!H55+ALIMENTARIAS!H55+'INOVACION AGRICOLA'!H55+'SERVICIOS ESCOLARES'!H55+'DESARROLLO ACADEMICO'!H55</f>
        <v>0</v>
      </c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6">
        <f>ELECTROMECANICA!E56+ALIMENTARIAS!E56+'INOVACION AGRICOLA'!E56+'SERVICIOS ESCOLARES'!E56+'DESARROLLO ACADEMICO'!E56</f>
        <v>0</v>
      </c>
      <c r="F56" s="85">
        <f>ELECTROMECANICA!F56+ALIMENTARIAS!F56+'INOVACION AGRICOLA'!F56+'SERVICIOS ESCOLARES'!F56+'DESARROLLO ACADEMICO'!F56</f>
        <v>0</v>
      </c>
      <c r="G56" s="99">
        <f>ELECTROMECANICA!G56+ALIMENTARIAS!G56+'INOVACION AGRICOLA'!G56+'SERVICIOS ESCOLARES'!G56+'DESARROLLO ACADEMICO'!G56</f>
        <v>0</v>
      </c>
      <c r="H56" s="93">
        <f>ELECTROMECANICA!H56+ALIMENTARIAS!H56+'INOVACION AGRICOLA'!H56+'SERVICIOS ESCOLARES'!H56+'DESARROLLO ACADEMICO'!H56</f>
        <v>0</v>
      </c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12000</v>
      </c>
      <c r="E57" s="76">
        <f>ELECTROMECANICA!E57+ALIMENTARIAS!E57+'INOVACION AGRICOLA'!E57+'SERVICIOS ESCOLARES'!E57+'DESARROLLO ACADEMICO'!E57</f>
        <v>6000</v>
      </c>
      <c r="F57" s="85">
        <f>ELECTROMECANICA!F57+ALIMENTARIAS!F57+'INOVACION AGRICOLA'!F57+'SERVICIOS ESCOLARES'!F57+'DESARROLLO ACADEMICO'!F57</f>
        <v>6000</v>
      </c>
      <c r="G57" s="99">
        <f>ELECTROMECANICA!G57+ALIMENTARIAS!G57+'INOVACION AGRICOLA'!G57+'SERVICIOS ESCOLARES'!G57+'DESARROLLO ACADEMICO'!G57</f>
        <v>0</v>
      </c>
      <c r="H57" s="93">
        <f>ELECTROMECANICA!H57+ALIMENTARIAS!H57+'INOVACION AGRICOLA'!H57+'SERVICIOS ESCOLARES'!H57+'DESARROLLO ACADEMICO'!H57</f>
        <v>0</v>
      </c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6">
        <f>ELECTROMECANICA!E58+ALIMENTARIAS!E58+'INOVACION AGRICOLA'!E58+'SERVICIOS ESCOLARES'!E58+'DESARROLLO ACADEMICO'!E58</f>
        <v>0</v>
      </c>
      <c r="F58" s="85">
        <f>ELECTROMECANICA!F58+ALIMENTARIAS!F58+'INOVACION AGRICOLA'!F58+'SERVICIOS ESCOLARES'!F58+'DESARROLLO ACADEMICO'!F58</f>
        <v>0</v>
      </c>
      <c r="G58" s="99">
        <f>ELECTROMECANICA!G58+ALIMENTARIAS!G58+'INOVACION AGRICOLA'!G58+'SERVICIOS ESCOLARES'!G58+'DESARROLLO ACADEMICO'!G58</f>
        <v>0</v>
      </c>
      <c r="H58" s="93">
        <f>ELECTROMECANICA!H58+ALIMENTARIAS!H58+'INOVACION AGRICOLA'!H58+'SERVICIOS ESCOLARES'!H58+'DESARROLLO ACADEMICO'!H58</f>
        <v>0</v>
      </c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34000</v>
      </c>
      <c r="E59" s="76">
        <f>ELECTROMECANICA!E59+ALIMENTARIAS!E59+'INOVACION AGRICOLA'!E59+'SERVICIOS ESCOLARES'!E59+'DESARROLLO ACADEMICO'!E59</f>
        <v>7000</v>
      </c>
      <c r="F59" s="85">
        <f>ELECTROMECANICA!F59+ALIMENTARIAS!F59+'INOVACION AGRICOLA'!F59+'SERVICIOS ESCOLARES'!F59+'DESARROLLO ACADEMICO'!F59</f>
        <v>7000</v>
      </c>
      <c r="G59" s="99">
        <f>ELECTROMECANICA!G59+ALIMENTARIAS!G59+'INOVACION AGRICOLA'!G59+'SERVICIOS ESCOLARES'!G59+'DESARROLLO ACADEMICO'!G59</f>
        <v>0</v>
      </c>
      <c r="H59" s="93">
        <f>ELECTROMECANICA!H59+ALIMENTARIAS!H59+'INOVACION AGRICOLA'!H59+'SERVICIOS ESCOLARES'!H59+'DESARROLLO ACADEMICO'!H59</f>
        <v>20000</v>
      </c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6">
        <f>ELECTROMECANICA!E60+ALIMENTARIAS!E60+'INOVACION AGRICOLA'!E60+'SERVICIOS ESCOLARES'!E60+'DESARROLLO ACADEMICO'!E60</f>
        <v>0</v>
      </c>
      <c r="F60" s="85">
        <f>ELECTROMECANICA!F60+ALIMENTARIAS!F60+'INOVACION AGRICOLA'!F60+'SERVICIOS ESCOLARES'!F60+'DESARROLLO ACADEMICO'!F60</f>
        <v>0</v>
      </c>
      <c r="G60" s="99">
        <f>ELECTROMECANICA!G60+ALIMENTARIAS!G60+'INOVACION AGRICOLA'!G60+'SERVICIOS ESCOLARES'!G60+'DESARROLLO ACADEMICO'!G60</f>
        <v>0</v>
      </c>
      <c r="H60" s="93">
        <f>ELECTROMECANICA!H60+ALIMENTARIAS!H60+'INOVACION AGRICOLA'!H60+'SERVICIOS ESCOLARES'!H60+'DESARROLLO ACADEMICO'!H60</f>
        <v>0</v>
      </c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6">
        <f>ELECTROMECANICA!E61+ALIMENTARIAS!E61+'INOVACION AGRICOLA'!E61+'SERVICIOS ESCOLARES'!E61+'DESARROLLO ACADEMICO'!E61</f>
        <v>0</v>
      </c>
      <c r="F61" s="85">
        <f>ELECTROMECANICA!F61+ALIMENTARIAS!F61+'INOVACION AGRICOLA'!F61+'SERVICIOS ESCOLARES'!F61+'DESARROLLO ACADEMICO'!F61</f>
        <v>0</v>
      </c>
      <c r="G61" s="99">
        <f>ELECTROMECANICA!G61+ALIMENTARIAS!G61+'INOVACION AGRICOLA'!G61+'SERVICIOS ESCOLARES'!G61+'DESARROLLO ACADEMICO'!G61</f>
        <v>0</v>
      </c>
      <c r="H61" s="93">
        <f>ELECTROMECANICA!H61+ALIMENTARIAS!H61+'INOVACION AGRICOLA'!H61+'SERVICIOS ESCOLARES'!H61+'DESARROLLO ACADEMICO'!H61</f>
        <v>0</v>
      </c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6">
        <f>ELECTROMECANICA!E62+ALIMENTARIAS!E62+'INOVACION AGRICOLA'!E62+'SERVICIOS ESCOLARES'!E62+'DESARROLLO ACADEMICO'!E62</f>
        <v>0</v>
      </c>
      <c r="F62" s="85">
        <f>ELECTROMECANICA!F62+ALIMENTARIAS!F62+'INOVACION AGRICOLA'!F62+'SERVICIOS ESCOLARES'!F62+'DESARROLLO ACADEMICO'!F62</f>
        <v>0</v>
      </c>
      <c r="G62" s="99">
        <f>ELECTROMECANICA!G62+ALIMENTARIAS!G62+'INOVACION AGRICOLA'!G62+'SERVICIOS ESCOLARES'!G62+'DESARROLLO ACADEMICO'!G62</f>
        <v>0</v>
      </c>
      <c r="H62" s="93">
        <f>ELECTROMECANICA!H62+ALIMENTARIAS!H62+'INOVACION AGRICOLA'!H62+'SERVICIOS ESCOLARES'!H62+'DESARROLLO ACADEMICO'!H62</f>
        <v>0</v>
      </c>
      <c r="I62" s="30"/>
    </row>
    <row r="63" spans="1:9" s="21" customFormat="1" ht="36" x14ac:dyDescent="0.2">
      <c r="A63" s="54">
        <v>2951</v>
      </c>
      <c r="B63" s="64"/>
      <c r="C63" s="51" t="s">
        <v>75</v>
      </c>
      <c r="D63" s="61">
        <f t="shared" si="2"/>
        <v>36000</v>
      </c>
      <c r="E63" s="76">
        <f>ELECTROMECANICA!E63+ALIMENTARIAS!E63+'INOVACION AGRICOLA'!E63+'SERVICIOS ESCOLARES'!E63+'DESARROLLO ACADEMICO'!E63</f>
        <v>18000</v>
      </c>
      <c r="F63" s="85">
        <f>ELECTROMECANICA!F63+ALIMENTARIAS!F63+'INOVACION AGRICOLA'!F63+'SERVICIOS ESCOLARES'!F63+'DESARROLLO ACADEMICO'!F63</f>
        <v>18000</v>
      </c>
      <c r="G63" s="99">
        <f>ELECTROMECANICA!G63+ALIMENTARIAS!G63+'INOVACION AGRICOLA'!G63+'SERVICIOS ESCOLARES'!G63+'DESARROLLO ACADEMICO'!G63</f>
        <v>0</v>
      </c>
      <c r="H63" s="93">
        <f>ELECTROMECANICA!H63+ALIMENTARIAS!H63+'INOVACION AGRICOLA'!H63+'SERVICIOS ESCOLARES'!H63+'DESARROLLO ACADEMICO'!H63</f>
        <v>0</v>
      </c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6">
        <f>ELECTROMECANICA!E64+ALIMENTARIAS!E64+'INOVACION AGRICOLA'!E64+'SERVICIOS ESCOLARES'!E64+'DESARROLLO ACADEMICO'!E64</f>
        <v>0</v>
      </c>
      <c r="F64" s="85">
        <f>ELECTROMECANICA!F64+ALIMENTARIAS!F64+'INOVACION AGRICOLA'!F64+'SERVICIOS ESCOLARES'!F64+'DESARROLLO ACADEMICO'!F64</f>
        <v>0</v>
      </c>
      <c r="G64" s="99">
        <f>ELECTROMECANICA!G64+ALIMENTARIAS!G64+'INOVACION AGRICOLA'!G64+'SERVICIOS ESCOLARES'!G64+'DESARROLLO ACADEMICO'!G64</f>
        <v>0</v>
      </c>
      <c r="H64" s="93">
        <f>ELECTROMECANICA!H64+ALIMENTARIAS!H64+'INOVACION AGRICOLA'!H64+'SERVICIOS ESCOLARES'!H64+'DESARROLLO ACADEMICO'!H64</f>
        <v>0</v>
      </c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3000</v>
      </c>
      <c r="E65" s="76">
        <f>ELECTROMECANICA!E65+ALIMENTARIAS!E65+'INOVACION AGRICOLA'!E65+'SERVICIOS ESCOLARES'!E65+'DESARROLLO ACADEMICO'!E65</f>
        <v>1500</v>
      </c>
      <c r="F65" s="85">
        <f>ELECTROMECANICA!F65+ALIMENTARIAS!F65+'INOVACION AGRICOLA'!F65+'SERVICIOS ESCOLARES'!F65+'DESARROLLO ACADEMICO'!F65</f>
        <v>1500</v>
      </c>
      <c r="G65" s="99">
        <f>ELECTROMECANICA!G65+ALIMENTARIAS!G65+'INOVACION AGRICOLA'!G65+'SERVICIOS ESCOLARES'!G65+'DESARROLLO ACADEMICO'!G65</f>
        <v>0</v>
      </c>
      <c r="H65" s="93">
        <f>ELECTROMECANICA!H65+ALIMENTARIAS!H65+'INOVACION AGRICOLA'!H65+'SERVICIOS ESCOLARES'!H65+'DESARROLLO ACADEMICO'!H65</f>
        <v>0</v>
      </c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6">
        <f>ELECTROMECANICA!E66+ALIMENTARIAS!E66+'INOVACION AGRICOLA'!E66+'SERVICIOS ESCOLARES'!E66+'DESARROLLO ACADEMICO'!E66</f>
        <v>0</v>
      </c>
      <c r="F66" s="85">
        <f>ELECTROMECANICA!F66+ALIMENTARIAS!F66+'INOVACION AGRICOLA'!F66+'SERVICIOS ESCOLARES'!F66+'DESARROLLO ACADEMICO'!F66</f>
        <v>0</v>
      </c>
      <c r="G66" s="99">
        <f>ELECTROMECANICA!G66+ALIMENTARIAS!G66+'INOVACION AGRICOLA'!G66+'SERVICIOS ESCOLARES'!G66+'DESARROLLO ACADEMICO'!G66</f>
        <v>0</v>
      </c>
      <c r="H66" s="93">
        <f>ELECTROMECANICA!H66+ALIMENTARIAS!H66+'INOVACION AGRICOLA'!H66+'SERVICIOS ESCOLARES'!H66+'DESARROLLO ACADEMICO'!H66</f>
        <v>0</v>
      </c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817011.26</v>
      </c>
      <c r="E67" s="66">
        <f t="shared" ref="E67:H67" si="3">SUM(E29:E66)</f>
        <v>168000</v>
      </c>
      <c r="F67" s="66">
        <f t="shared" si="3"/>
        <v>135000</v>
      </c>
      <c r="G67" s="66">
        <f t="shared" si="3"/>
        <v>0</v>
      </c>
      <c r="H67" s="66">
        <f t="shared" si="3"/>
        <v>514011.25999999995</v>
      </c>
      <c r="I67" s="25"/>
      <c r="J67" s="26"/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6">
        <f>ELECTROMECANICA!E68+ALIMENTARIAS!E68+'INOVACION AGRICOLA'!E68+'SERVICIOS ESCOLARES'!E68+'DESARROLLO ACADEMICO'!E68</f>
        <v>0</v>
      </c>
      <c r="F68" s="85">
        <f>ELECTROMECANICA!F68+ALIMENTARIAS!F68+'INOVACION AGRICOLA'!F68+'SERVICIOS ESCOLARES'!F68+'DESARROLLO ACADEMICO'!F68</f>
        <v>0</v>
      </c>
      <c r="G68" s="99">
        <f>ELECTROMECANICA!G68+ALIMENTARIAS!G68+'INOVACION AGRICOLA'!G68+'SERVICIOS ESCOLARES'!G68+'DESARROLLO ACADEMICO'!G68</f>
        <v>0</v>
      </c>
      <c r="H68" s="93">
        <f>ELECTROMECANICA!H68+ALIMENTARIAS!H68+'INOVACION AGRICOLA'!H68+'SERVICIOS ESCOLARES'!H68+'DESARROLLO ACADEMICO'!H68</f>
        <v>0</v>
      </c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26000</v>
      </c>
      <c r="E69" s="76">
        <f>ELECTROMECANICA!E69+ALIMENTARIAS!E69+'INOVACION AGRICOLA'!E69+'SERVICIOS ESCOLARES'!E69+'DESARROLLO ACADEMICO'!E69</f>
        <v>13000</v>
      </c>
      <c r="F69" s="85">
        <f>ELECTROMECANICA!F69+ALIMENTARIAS!F69+'INOVACION AGRICOLA'!F69+'SERVICIOS ESCOLARES'!F69+'DESARROLLO ACADEMICO'!F69</f>
        <v>13000</v>
      </c>
      <c r="G69" s="99">
        <f>ELECTROMECANICA!G69+ALIMENTARIAS!G69+'INOVACION AGRICOLA'!G69+'SERVICIOS ESCOLARES'!G69+'DESARROLLO ACADEMICO'!G69</f>
        <v>0</v>
      </c>
      <c r="H69" s="93">
        <f>ELECTROMECANICA!H69+ALIMENTARIAS!H69+'INOVACION AGRICOLA'!H69+'SERVICIOS ESCOLARES'!H69+'DESARROLLO ACADEMICO'!H69</f>
        <v>0</v>
      </c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6">
        <f>ELECTROMECANICA!E70+ALIMENTARIAS!E70+'INOVACION AGRICOLA'!E70+'SERVICIOS ESCOLARES'!E70+'DESARROLLO ACADEMICO'!E70</f>
        <v>0</v>
      </c>
      <c r="F70" s="85">
        <f>ELECTROMECANICA!F70+ALIMENTARIAS!F70+'INOVACION AGRICOLA'!F70+'SERVICIOS ESCOLARES'!F70+'DESARROLLO ACADEMICO'!F70</f>
        <v>0</v>
      </c>
      <c r="G70" s="99">
        <f>ELECTROMECANICA!G70+ALIMENTARIAS!G70+'INOVACION AGRICOLA'!G70+'SERVICIOS ESCOLARES'!G70+'DESARROLLO ACADEMICO'!G70</f>
        <v>0</v>
      </c>
      <c r="H70" s="93">
        <f>ELECTROMECANICA!H70+ALIMENTARIAS!H70+'INOVACION AGRICOLA'!H70+'SERVICIOS ESCOLARES'!H70+'DESARROLLO ACADEMICO'!H70</f>
        <v>0</v>
      </c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6">
        <f>ELECTROMECANICA!E71+ALIMENTARIAS!E71+'INOVACION AGRICOLA'!E71+'SERVICIOS ESCOLARES'!E71+'DESARROLLO ACADEMICO'!E71</f>
        <v>0</v>
      </c>
      <c r="F71" s="85">
        <f>ELECTROMECANICA!F71+ALIMENTARIAS!F71+'INOVACION AGRICOLA'!F71+'SERVICIOS ESCOLARES'!F71+'DESARROLLO ACADEMICO'!F71</f>
        <v>0</v>
      </c>
      <c r="G71" s="99">
        <f>ELECTROMECANICA!G71+ALIMENTARIAS!G71+'INOVACION AGRICOLA'!G71+'SERVICIOS ESCOLARES'!G71+'DESARROLLO ACADEMICO'!G71</f>
        <v>0</v>
      </c>
      <c r="H71" s="93">
        <f>ELECTROMECANICA!H71+ALIMENTARIAS!H71+'INOVACION AGRICOLA'!H71+'SERVICIOS ESCOLARES'!H71+'DESARROLLO ACADEMICO'!H71</f>
        <v>0</v>
      </c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6">
        <f>ELECTROMECANICA!E72+ALIMENTARIAS!E72+'INOVACION AGRICOLA'!E72+'SERVICIOS ESCOLARES'!E72+'DESARROLLO ACADEMICO'!E72</f>
        <v>0</v>
      </c>
      <c r="F72" s="85">
        <f>ELECTROMECANICA!F72+ALIMENTARIAS!F72+'INOVACION AGRICOLA'!F72+'SERVICIOS ESCOLARES'!F72+'DESARROLLO ACADEMICO'!F72</f>
        <v>0</v>
      </c>
      <c r="G72" s="99">
        <f>ELECTROMECANICA!G72+ALIMENTARIAS!G72+'INOVACION AGRICOLA'!G72+'SERVICIOS ESCOLARES'!G72+'DESARROLLO ACADEMICO'!G72</f>
        <v>0</v>
      </c>
      <c r="H72" s="93">
        <f>ELECTROMECANICA!H72+ALIMENTARIAS!H72+'INOVACION AGRICOLA'!H72+'SERVICIOS ESCOLARES'!H72+'DESARROLLO ACADEMICO'!H72</f>
        <v>0</v>
      </c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8000</v>
      </c>
      <c r="E73" s="76">
        <f>ELECTROMECANICA!E73+ALIMENTARIAS!E73+'INOVACION AGRICOLA'!E73+'SERVICIOS ESCOLARES'!E73+'DESARROLLO ACADEMICO'!E73</f>
        <v>0</v>
      </c>
      <c r="F73" s="85">
        <f>ELECTROMECANICA!F73+ALIMENTARIAS!F73+'INOVACION AGRICOLA'!F73+'SERVICIOS ESCOLARES'!F73+'DESARROLLO ACADEMICO'!F73</f>
        <v>1000</v>
      </c>
      <c r="G73" s="99">
        <f>ELECTROMECANICA!G73+ALIMENTARIAS!G73+'INOVACION AGRICOLA'!G73+'SERVICIOS ESCOLARES'!G73+'DESARROLLO ACADEMICO'!G73</f>
        <v>0</v>
      </c>
      <c r="H73" s="93">
        <f>ELECTROMECANICA!H73+ALIMENTARIAS!H73+'INOVACION AGRICOLA'!H73+'SERVICIOS ESCOLARES'!H73+'DESARROLLO ACADEMICO'!H73</f>
        <v>7000</v>
      </c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6">
        <f>ELECTROMECANICA!E74+ALIMENTARIAS!E74+'INOVACION AGRICOLA'!E74+'SERVICIOS ESCOLARES'!E74+'DESARROLLO ACADEMICO'!E74</f>
        <v>0</v>
      </c>
      <c r="F74" s="85">
        <f>ELECTROMECANICA!F74+ALIMENTARIAS!F74+'INOVACION AGRICOLA'!F74+'SERVICIOS ESCOLARES'!F74+'DESARROLLO ACADEMICO'!F74</f>
        <v>0</v>
      </c>
      <c r="G74" s="99">
        <f>ELECTROMECANICA!G74+ALIMENTARIAS!G74+'INOVACION AGRICOLA'!G74+'SERVICIOS ESCOLARES'!G74+'DESARROLLO ACADEMICO'!G74</f>
        <v>0</v>
      </c>
      <c r="H74" s="93">
        <f>ELECTROMECANICA!H74+ALIMENTARIAS!H74+'INOVACION AGRICOLA'!H74+'SERVICIOS ESCOLARES'!H74+'DESARROLLO ACADEMICO'!H74</f>
        <v>0</v>
      </c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5000</v>
      </c>
      <c r="E75" s="76">
        <f>ELECTROMECANICA!E75+ALIMENTARIAS!E75+'INOVACION AGRICOLA'!E75+'SERVICIOS ESCOLARES'!E75+'DESARROLLO ACADEMICO'!E75</f>
        <v>0</v>
      </c>
      <c r="F75" s="85">
        <f>ELECTROMECANICA!F75+ALIMENTARIAS!F75+'INOVACION AGRICOLA'!F75+'SERVICIOS ESCOLARES'!F75+'DESARROLLO ACADEMICO'!F75</f>
        <v>0</v>
      </c>
      <c r="G75" s="99">
        <f>ELECTROMECANICA!G75+ALIMENTARIAS!G75+'INOVACION AGRICOLA'!G75+'SERVICIOS ESCOLARES'!G75+'DESARROLLO ACADEMICO'!G75</f>
        <v>0</v>
      </c>
      <c r="H75" s="93">
        <f>ELECTROMECANICA!H75+ALIMENTARIAS!H75+'INOVACION AGRICOLA'!H75+'SERVICIOS ESCOLARES'!H75+'DESARROLLO ACADEMICO'!H75</f>
        <v>5000</v>
      </c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6">
        <f>ELECTROMECANICA!E76+ALIMENTARIAS!E76+'INOVACION AGRICOLA'!E76+'SERVICIOS ESCOLARES'!E76+'DESARROLLO ACADEMICO'!E76</f>
        <v>0</v>
      </c>
      <c r="F76" s="85">
        <f>ELECTROMECANICA!F76+ALIMENTARIAS!F76+'INOVACION AGRICOLA'!F76+'SERVICIOS ESCOLARES'!F76+'DESARROLLO ACADEMICO'!F76</f>
        <v>0</v>
      </c>
      <c r="G76" s="99">
        <f>ELECTROMECANICA!G76+ALIMENTARIAS!G76+'INOVACION AGRICOLA'!G76+'SERVICIOS ESCOLARES'!G76+'DESARROLLO ACADEMICO'!G76</f>
        <v>0</v>
      </c>
      <c r="H76" s="93">
        <f>ELECTROMECANICA!H76+ALIMENTARIAS!H76+'INOVACION AGRICOLA'!H76+'SERVICIOS ESCOLARES'!H76+'DESARROLLO ACADEMICO'!H76</f>
        <v>0</v>
      </c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6">
        <f>ELECTROMECANICA!E77+ALIMENTARIAS!E77+'INOVACION AGRICOLA'!E77+'SERVICIOS ESCOLARES'!E77+'DESARROLLO ACADEMICO'!E77</f>
        <v>0</v>
      </c>
      <c r="F77" s="85">
        <f>ELECTROMECANICA!F77+ALIMENTARIAS!F77+'INOVACION AGRICOLA'!F77+'SERVICIOS ESCOLARES'!F77+'DESARROLLO ACADEMICO'!F77</f>
        <v>0</v>
      </c>
      <c r="G77" s="99">
        <f>ELECTROMECANICA!G77+ALIMENTARIAS!G77+'INOVACION AGRICOLA'!G77+'SERVICIOS ESCOLARES'!G77+'DESARROLLO ACADEMICO'!G77</f>
        <v>0</v>
      </c>
      <c r="H77" s="93">
        <f>ELECTROMECANICA!H77+ALIMENTARIAS!H77+'INOVACION AGRICOLA'!H77+'SERVICIOS ESCOLARES'!H77+'DESARROLLO ACADEMICO'!H77</f>
        <v>0</v>
      </c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6">
        <f>ELECTROMECANICA!E78+ALIMENTARIAS!E78+'INOVACION AGRICOLA'!E78+'SERVICIOS ESCOLARES'!E78+'DESARROLLO ACADEMICO'!E78</f>
        <v>0</v>
      </c>
      <c r="F78" s="85">
        <f>ELECTROMECANICA!F78+ALIMENTARIAS!F78+'INOVACION AGRICOLA'!F78+'SERVICIOS ESCOLARES'!F78+'DESARROLLO ACADEMICO'!F78</f>
        <v>0</v>
      </c>
      <c r="G78" s="99">
        <f>ELECTROMECANICA!G78+ALIMENTARIAS!G78+'INOVACION AGRICOLA'!G78+'SERVICIOS ESCOLARES'!G78+'DESARROLLO ACADEMICO'!G78</f>
        <v>0</v>
      </c>
      <c r="H78" s="93">
        <f>ELECTROMECANICA!H78+ALIMENTARIAS!H78+'INOVACION AGRICOLA'!H78+'SERVICIOS ESCOLARES'!H78+'DESARROLLO ACADEMICO'!H78</f>
        <v>0</v>
      </c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6">
        <f>ELECTROMECANICA!E79+ALIMENTARIAS!E79+'INOVACION AGRICOLA'!E79+'SERVICIOS ESCOLARES'!E79+'DESARROLLO ACADEMICO'!E79</f>
        <v>0</v>
      </c>
      <c r="F79" s="85">
        <f>ELECTROMECANICA!F79+ALIMENTARIAS!F79+'INOVACION AGRICOLA'!F79+'SERVICIOS ESCOLARES'!F79+'DESARROLLO ACADEMICO'!F79</f>
        <v>0</v>
      </c>
      <c r="G79" s="99">
        <f>ELECTROMECANICA!G79+ALIMENTARIAS!G79+'INOVACION AGRICOLA'!G79+'SERVICIOS ESCOLARES'!G79+'DESARROLLO ACADEMICO'!G79</f>
        <v>0</v>
      </c>
      <c r="H79" s="93">
        <f>ELECTROMECANICA!H79+ALIMENTARIAS!H79+'INOVACION AGRICOLA'!H79+'SERVICIOS ESCOLARES'!H79+'DESARROLLO ACADEMICO'!H79</f>
        <v>0</v>
      </c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110000</v>
      </c>
      <c r="E80" s="76">
        <f>ELECTROMECANICA!E80+ALIMENTARIAS!E80+'INOVACION AGRICOLA'!E80+'SERVICIOS ESCOLARES'!E80+'DESARROLLO ACADEMICO'!E80</f>
        <v>0</v>
      </c>
      <c r="F80" s="85">
        <f>ELECTROMECANICA!F80+ALIMENTARIAS!F80+'INOVACION AGRICOLA'!F80+'SERVICIOS ESCOLARES'!F80+'DESARROLLO ACADEMICO'!F80</f>
        <v>110000</v>
      </c>
      <c r="G80" s="99">
        <f>ELECTROMECANICA!G80+ALIMENTARIAS!G80+'INOVACION AGRICOLA'!G80+'SERVICIOS ESCOLARES'!G80+'DESARROLLO ACADEMICO'!G80</f>
        <v>0</v>
      </c>
      <c r="H80" s="93">
        <f>ELECTROMECANICA!H80+ALIMENTARIAS!H80+'INOVACION AGRICOLA'!H80+'SERVICIOS ESCOLARES'!H80+'DESARROLLO ACADEMICO'!H80</f>
        <v>0</v>
      </c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6">
        <f>ELECTROMECANICA!E81+ALIMENTARIAS!E81+'INOVACION AGRICOLA'!E81+'SERVICIOS ESCOLARES'!E81+'DESARROLLO ACADEMICO'!E81</f>
        <v>0</v>
      </c>
      <c r="F81" s="85">
        <f>ELECTROMECANICA!F81+ALIMENTARIAS!F81+'INOVACION AGRICOLA'!F81+'SERVICIOS ESCOLARES'!F81+'DESARROLLO ACADEMICO'!F81</f>
        <v>0</v>
      </c>
      <c r="G81" s="99">
        <f>ELECTROMECANICA!G81+ALIMENTARIAS!G81+'INOVACION AGRICOLA'!G81+'SERVICIOS ESCOLARES'!G81+'DESARROLLO ACADEMICO'!G81</f>
        <v>0</v>
      </c>
      <c r="H81" s="93">
        <f>ELECTROMECANICA!H81+ALIMENTARIAS!H81+'INOVACION AGRICOLA'!H81+'SERVICIOS ESCOLARES'!H81+'DESARROLLO ACADEMICO'!H81</f>
        <v>0</v>
      </c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20000</v>
      </c>
      <c r="E82" s="76">
        <f>ELECTROMECANICA!E82+ALIMENTARIAS!E82+'INOVACION AGRICOLA'!E82+'SERVICIOS ESCOLARES'!E82+'DESARROLLO ACADEMICO'!E82</f>
        <v>0</v>
      </c>
      <c r="F82" s="85">
        <f>ELECTROMECANICA!F82+ALIMENTARIAS!F82+'INOVACION AGRICOLA'!F82+'SERVICIOS ESCOLARES'!F82+'DESARROLLO ACADEMICO'!F82</f>
        <v>20000</v>
      </c>
      <c r="G82" s="99">
        <f>ELECTROMECANICA!G82+ALIMENTARIAS!G82+'INOVACION AGRICOLA'!G82+'SERVICIOS ESCOLARES'!G82+'DESARROLLO ACADEMICO'!G82</f>
        <v>0</v>
      </c>
      <c r="H82" s="93">
        <f>ELECTROMECANICA!H82+ALIMENTARIAS!H82+'INOVACION AGRICOLA'!H82+'SERVICIOS ESCOLARES'!H82+'DESARROLLO ACADEMICO'!H82</f>
        <v>0</v>
      </c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6">
        <f>ELECTROMECANICA!E83+ALIMENTARIAS!E83+'INOVACION AGRICOLA'!E83+'SERVICIOS ESCOLARES'!E83+'DESARROLLO ACADEMICO'!E83</f>
        <v>0</v>
      </c>
      <c r="F83" s="85">
        <f>ELECTROMECANICA!F83+ALIMENTARIAS!F83+'INOVACION AGRICOLA'!F83+'SERVICIOS ESCOLARES'!F83+'DESARROLLO ACADEMICO'!F83</f>
        <v>0</v>
      </c>
      <c r="G83" s="99">
        <f>ELECTROMECANICA!G83+ALIMENTARIAS!G83+'INOVACION AGRICOLA'!G83+'SERVICIOS ESCOLARES'!G83+'DESARROLLO ACADEMICO'!G83</f>
        <v>0</v>
      </c>
      <c r="H83" s="93">
        <f>ELECTROMECANICA!H83+ALIMENTARIAS!H83+'INOVACION AGRICOLA'!H83+'SERVICIOS ESCOLARES'!H83+'DESARROLLO ACADEMICO'!H83</f>
        <v>0</v>
      </c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>
        <f t="shared" si="4"/>
        <v>215000</v>
      </c>
      <c r="E84" s="76">
        <f>ELECTROMECANICA!E84+ALIMENTARIAS!E84+'INOVACION AGRICOLA'!E84+'SERVICIOS ESCOLARES'!E84+'DESARROLLO ACADEMICO'!E84</f>
        <v>0</v>
      </c>
      <c r="F84" s="85">
        <f>ELECTROMECANICA!F84+ALIMENTARIAS!F84+'INOVACION AGRICOLA'!F84+'SERVICIOS ESCOLARES'!F84+'DESARROLLO ACADEMICO'!F84</f>
        <v>0</v>
      </c>
      <c r="G84" s="99">
        <f>ELECTROMECANICA!G84+ALIMENTARIAS!G84+'INOVACION AGRICOLA'!G84+'SERVICIOS ESCOLARES'!G84+'DESARROLLO ACADEMICO'!G84</f>
        <v>0</v>
      </c>
      <c r="H84" s="93">
        <f>ELECTROMECANICA!H84+ALIMENTARIAS!H84+'INOVACION AGRICOLA'!H84+'SERVICIOS ESCOLARES'!H84+'DESARROLLO ACADEMICO'!H84</f>
        <v>215000</v>
      </c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6">
        <f>ELECTROMECANICA!E85+ALIMENTARIAS!E85+'INOVACION AGRICOLA'!E85+'SERVICIOS ESCOLARES'!E85+'DESARROLLO ACADEMICO'!E85</f>
        <v>0</v>
      </c>
      <c r="F85" s="85">
        <f>ELECTROMECANICA!F85+ALIMENTARIAS!F85+'INOVACION AGRICOLA'!F85+'SERVICIOS ESCOLARES'!F85+'DESARROLLO ACADEMICO'!F85</f>
        <v>0</v>
      </c>
      <c r="G85" s="99">
        <f>ELECTROMECANICA!G85+ALIMENTARIAS!G85+'INOVACION AGRICOLA'!G85+'SERVICIOS ESCOLARES'!G85+'DESARROLLO ACADEMICO'!G85</f>
        <v>0</v>
      </c>
      <c r="H85" s="93">
        <f>ELECTROMECANICA!H85+ALIMENTARIAS!H85+'INOVACION AGRICOLA'!H85+'SERVICIOS ESCOLARES'!H85+'DESARROLLO ACADEMICO'!H85</f>
        <v>0</v>
      </c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6">
        <f>ELECTROMECANICA!E86+ALIMENTARIAS!E86+'INOVACION AGRICOLA'!E86+'SERVICIOS ESCOLARES'!E86+'DESARROLLO ACADEMICO'!E86</f>
        <v>0</v>
      </c>
      <c r="F86" s="85">
        <f>ELECTROMECANICA!F86+ALIMENTARIAS!F86+'INOVACION AGRICOLA'!F86+'SERVICIOS ESCOLARES'!F86+'DESARROLLO ACADEMICO'!F86</f>
        <v>0</v>
      </c>
      <c r="G86" s="99">
        <f>ELECTROMECANICA!G86+ALIMENTARIAS!G86+'INOVACION AGRICOLA'!G86+'SERVICIOS ESCOLARES'!G86+'DESARROLLO ACADEMICO'!G86</f>
        <v>0</v>
      </c>
      <c r="H86" s="93">
        <f>ELECTROMECANICA!H86+ALIMENTARIAS!H86+'INOVACION AGRICOLA'!H86+'SERVICIOS ESCOLARES'!H86+'DESARROLLO ACADEMICO'!H86</f>
        <v>0</v>
      </c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6">
        <f>ELECTROMECANICA!E87+ALIMENTARIAS!E87+'INOVACION AGRICOLA'!E87+'SERVICIOS ESCOLARES'!E87+'DESARROLLO ACADEMICO'!E87</f>
        <v>0</v>
      </c>
      <c r="F87" s="85">
        <f>ELECTROMECANICA!F87+ALIMENTARIAS!F87+'INOVACION AGRICOLA'!F87+'SERVICIOS ESCOLARES'!F87+'DESARROLLO ACADEMICO'!F87</f>
        <v>0</v>
      </c>
      <c r="G87" s="99">
        <f>ELECTROMECANICA!G87+ALIMENTARIAS!G87+'INOVACION AGRICOLA'!G87+'SERVICIOS ESCOLARES'!G87+'DESARROLLO ACADEMICO'!G87</f>
        <v>0</v>
      </c>
      <c r="H87" s="93">
        <f>ELECTROMECANICA!H87+ALIMENTARIAS!H87+'INOVACION AGRICOLA'!H87+'SERVICIOS ESCOLARES'!H87+'DESARROLLO ACADEMICO'!H87</f>
        <v>0</v>
      </c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6">
        <f>ELECTROMECANICA!E88+ALIMENTARIAS!E88+'INOVACION AGRICOLA'!E88+'SERVICIOS ESCOLARES'!E88+'DESARROLLO ACADEMICO'!E88</f>
        <v>0</v>
      </c>
      <c r="F88" s="85">
        <f>ELECTROMECANICA!F88+ALIMENTARIAS!F88+'INOVACION AGRICOLA'!F88+'SERVICIOS ESCOLARES'!F88+'DESARROLLO ACADEMICO'!F88</f>
        <v>0</v>
      </c>
      <c r="G88" s="99">
        <f>ELECTROMECANICA!G88+ALIMENTARIAS!G88+'INOVACION AGRICOLA'!G88+'SERVICIOS ESCOLARES'!G88+'DESARROLLO ACADEMICO'!G88</f>
        <v>0</v>
      </c>
      <c r="H88" s="93">
        <f>ELECTROMECANICA!H88+ALIMENTARIAS!H88+'INOVACION AGRICOLA'!H88+'SERVICIOS ESCOLARES'!H88+'DESARROLLO ACADEMICO'!H88</f>
        <v>0</v>
      </c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6">
        <f>ELECTROMECANICA!E89+ALIMENTARIAS!E89+'INOVACION AGRICOLA'!E89+'SERVICIOS ESCOLARES'!E89+'DESARROLLO ACADEMICO'!E89</f>
        <v>0</v>
      </c>
      <c r="F89" s="85">
        <f>ELECTROMECANICA!F89+ALIMENTARIAS!F89+'INOVACION AGRICOLA'!F89+'SERVICIOS ESCOLARES'!F89+'DESARROLLO ACADEMICO'!F89</f>
        <v>0</v>
      </c>
      <c r="G89" s="99">
        <f>ELECTROMECANICA!G89+ALIMENTARIAS!G89+'INOVACION AGRICOLA'!G89+'SERVICIOS ESCOLARES'!G89+'DESARROLLO ACADEMICO'!G89</f>
        <v>0</v>
      </c>
      <c r="H89" s="93">
        <f>ELECTROMECANICA!H89+ALIMENTARIAS!H89+'INOVACION AGRICOLA'!H89+'SERVICIOS ESCOLARES'!H89+'DESARROLLO ACADEMICO'!H89</f>
        <v>0</v>
      </c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126000</v>
      </c>
      <c r="E90" s="76">
        <f>ELECTROMECANICA!E90+ALIMENTARIAS!E90+'INOVACION AGRICOLA'!E90+'SERVICIOS ESCOLARES'!E90+'DESARROLLO ACADEMICO'!E90</f>
        <v>0</v>
      </c>
      <c r="F90" s="85">
        <f>ELECTROMECANICA!F90+ALIMENTARIAS!F90+'INOVACION AGRICOLA'!F90+'SERVICIOS ESCOLARES'!F90+'DESARROLLO ACADEMICO'!F90</f>
        <v>120000</v>
      </c>
      <c r="G90" s="99">
        <f>ELECTROMECANICA!G90+ALIMENTARIAS!G90+'INOVACION AGRICOLA'!G90+'SERVICIOS ESCOLARES'!G90+'DESARROLLO ACADEMICO'!G90</f>
        <v>6000</v>
      </c>
      <c r="H90" s="93">
        <f>ELECTROMECANICA!H90+ALIMENTARIAS!H90+'INOVACION AGRICOLA'!H90+'SERVICIOS ESCOLARES'!H90+'DESARROLLO ACADEMICO'!H90</f>
        <v>0</v>
      </c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6">
        <f>ELECTROMECANICA!E91+ALIMENTARIAS!E91+'INOVACION AGRICOLA'!E91+'SERVICIOS ESCOLARES'!E91+'DESARROLLO ACADEMICO'!E91</f>
        <v>0</v>
      </c>
      <c r="F91" s="85">
        <f>ELECTROMECANICA!F91+ALIMENTARIAS!F91+'INOVACION AGRICOLA'!F91+'SERVICIOS ESCOLARES'!F91+'DESARROLLO ACADEMICO'!F91</f>
        <v>0</v>
      </c>
      <c r="G91" s="99">
        <f>ELECTROMECANICA!G91+ALIMENTARIAS!G91+'INOVACION AGRICOLA'!G91+'SERVICIOS ESCOLARES'!G91+'DESARROLLO ACADEMICO'!G91</f>
        <v>0</v>
      </c>
      <c r="H91" s="93">
        <f>ELECTROMECANICA!H91+ALIMENTARIAS!H91+'INOVACION AGRICOLA'!H91+'SERVICIOS ESCOLARES'!H91+'DESARROLLO ACADEMICO'!H91</f>
        <v>0</v>
      </c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6000</v>
      </c>
      <c r="E92" s="76">
        <f>ELECTROMECANICA!E92+ALIMENTARIAS!E92+'INOVACION AGRICOLA'!E92+'SERVICIOS ESCOLARES'!E92+'DESARROLLO ACADEMICO'!E92</f>
        <v>0</v>
      </c>
      <c r="F92" s="85">
        <f>ELECTROMECANICA!F92+ALIMENTARIAS!F92+'INOVACION AGRICOLA'!F92+'SERVICIOS ESCOLARES'!F92+'DESARROLLO ACADEMICO'!F92</f>
        <v>0</v>
      </c>
      <c r="G92" s="99">
        <f>ELECTROMECANICA!G92+ALIMENTARIAS!G92+'INOVACION AGRICOLA'!G92+'SERVICIOS ESCOLARES'!G92+'DESARROLLO ACADEMICO'!G92</f>
        <v>6000</v>
      </c>
      <c r="H92" s="93">
        <f>ELECTROMECANICA!H92+ALIMENTARIAS!H92+'INOVACION AGRICOLA'!H92+'SERVICIOS ESCOLARES'!H92+'DESARROLLO ACADEMICO'!H92</f>
        <v>0</v>
      </c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56000</v>
      </c>
      <c r="E93" s="76">
        <f>ELECTROMECANICA!E93+ALIMENTARIAS!E93+'INOVACION AGRICOLA'!E93+'SERVICIOS ESCOLARES'!E93+'DESARROLLO ACADEMICO'!E93</f>
        <v>0</v>
      </c>
      <c r="F93" s="85">
        <f>ELECTROMECANICA!F93+ALIMENTARIAS!F93+'INOVACION AGRICOLA'!F93+'SERVICIOS ESCOLARES'!F93+'DESARROLLO ACADEMICO'!F93</f>
        <v>0</v>
      </c>
      <c r="G93" s="99">
        <f>ELECTROMECANICA!G93+ALIMENTARIAS!G93+'INOVACION AGRICOLA'!G93+'SERVICIOS ESCOLARES'!G93+'DESARROLLO ACADEMICO'!G93</f>
        <v>6000</v>
      </c>
      <c r="H93" s="93">
        <f>ELECTROMECANICA!H93+ALIMENTARIAS!H93+'INOVACION AGRICOLA'!H93+'SERVICIOS ESCOLARES'!H93+'DESARROLLO ACADEMICO'!H93</f>
        <v>50000</v>
      </c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6">
        <f>ELECTROMECANICA!E94+ALIMENTARIAS!E94+'INOVACION AGRICOLA'!E94+'SERVICIOS ESCOLARES'!E94+'DESARROLLO ACADEMICO'!E94</f>
        <v>0</v>
      </c>
      <c r="F94" s="85">
        <f>ELECTROMECANICA!F94+ALIMENTARIAS!F94+'INOVACION AGRICOLA'!F94+'SERVICIOS ESCOLARES'!F94+'DESARROLLO ACADEMICO'!F94</f>
        <v>0</v>
      </c>
      <c r="G94" s="99">
        <f>ELECTROMECANICA!G94+ALIMENTARIAS!G94+'INOVACION AGRICOLA'!G94+'SERVICIOS ESCOLARES'!G94+'DESARROLLO ACADEMICO'!G94</f>
        <v>0</v>
      </c>
      <c r="H94" s="93">
        <f>ELECTROMECANICA!H94+ALIMENTARIAS!H94+'INOVACION AGRICOLA'!H94+'SERVICIOS ESCOLARES'!H94+'DESARROLLO ACADEMICO'!H94</f>
        <v>0</v>
      </c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6">
        <f>ELECTROMECANICA!E95+ALIMENTARIAS!E95+'INOVACION AGRICOLA'!E95+'SERVICIOS ESCOLARES'!E95+'DESARROLLO ACADEMICO'!E95</f>
        <v>0</v>
      </c>
      <c r="F95" s="85">
        <f>ELECTROMECANICA!F95+ALIMENTARIAS!F95+'INOVACION AGRICOLA'!F95+'SERVICIOS ESCOLARES'!F95+'DESARROLLO ACADEMICO'!F95</f>
        <v>0</v>
      </c>
      <c r="G95" s="99">
        <f>ELECTROMECANICA!G95+ALIMENTARIAS!G95+'INOVACION AGRICOLA'!G95+'SERVICIOS ESCOLARES'!G95+'DESARROLLO ACADEMICO'!G95</f>
        <v>0</v>
      </c>
      <c r="H95" s="93">
        <f>ELECTROMECANICA!H95+ALIMENTARIAS!H95+'INOVACION AGRICOLA'!H95+'SERVICIOS ESCOLARES'!H95+'DESARROLLO ACADEMICO'!H95</f>
        <v>0</v>
      </c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50000</v>
      </c>
      <c r="E96" s="76">
        <f>ELECTROMECANICA!E96+ALIMENTARIAS!E96+'INOVACION AGRICOLA'!E96+'SERVICIOS ESCOLARES'!E96+'DESARROLLO ACADEMICO'!E96</f>
        <v>0</v>
      </c>
      <c r="F96" s="85">
        <f>ELECTROMECANICA!F96+ALIMENTARIAS!F96+'INOVACION AGRICOLA'!F96+'SERVICIOS ESCOLARES'!F96+'DESARROLLO ACADEMICO'!F96</f>
        <v>0</v>
      </c>
      <c r="G96" s="99">
        <f>ELECTROMECANICA!G96+ALIMENTARIAS!G96+'INOVACION AGRICOLA'!G96+'SERVICIOS ESCOLARES'!G96+'DESARROLLO ACADEMICO'!G96</f>
        <v>0</v>
      </c>
      <c r="H96" s="93">
        <f>ELECTROMECANICA!H96+ALIMENTARIAS!H96+'INOVACION AGRICOLA'!H96+'SERVICIOS ESCOLARES'!H96+'DESARROLLO ACADEMICO'!H96</f>
        <v>50000</v>
      </c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8000</v>
      </c>
      <c r="E97" s="76">
        <f>ELECTROMECANICA!E97+ALIMENTARIAS!E97+'INOVACION AGRICOLA'!E97+'SERVICIOS ESCOLARES'!E97+'DESARROLLO ACADEMICO'!E97</f>
        <v>0</v>
      </c>
      <c r="F97" s="85">
        <f>ELECTROMECANICA!F97+ALIMENTARIAS!F97+'INOVACION AGRICOLA'!F97+'SERVICIOS ESCOLARES'!F97+'DESARROLLO ACADEMICO'!F97</f>
        <v>0</v>
      </c>
      <c r="G97" s="99">
        <f>ELECTROMECANICA!G97+ALIMENTARIAS!G97+'INOVACION AGRICOLA'!G97+'SERVICIOS ESCOLARES'!G97+'DESARROLLO ACADEMICO'!G97</f>
        <v>8000</v>
      </c>
      <c r="H97" s="93">
        <f>ELECTROMECANICA!H97+ALIMENTARIAS!H97+'INOVACION AGRICOLA'!H97+'SERVICIOS ESCOLARES'!H97+'DESARROLLO ACADEMICO'!H97</f>
        <v>0</v>
      </c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22000</v>
      </c>
      <c r="E98" s="76">
        <f>ELECTROMECANICA!E98+ALIMENTARIAS!E98+'INOVACION AGRICOLA'!E98+'SERVICIOS ESCOLARES'!E98+'DESARROLLO ACADEMICO'!E98</f>
        <v>0</v>
      </c>
      <c r="F98" s="85">
        <f>ELECTROMECANICA!F98+ALIMENTARIAS!F98+'INOVACION AGRICOLA'!F98+'SERVICIOS ESCOLARES'!F98+'DESARROLLO ACADEMICO'!F98</f>
        <v>0</v>
      </c>
      <c r="G98" s="99">
        <f>ELECTROMECANICA!G98+ALIMENTARIAS!G98+'INOVACION AGRICOLA'!G98+'SERVICIOS ESCOLARES'!G98+'DESARROLLO ACADEMICO'!G98</f>
        <v>7000</v>
      </c>
      <c r="H98" s="93">
        <f>ELECTROMECANICA!H98+ALIMENTARIAS!H98+'INOVACION AGRICOLA'!H98+'SERVICIOS ESCOLARES'!H98+'DESARROLLO ACADEMICO'!H98</f>
        <v>15000</v>
      </c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88000</v>
      </c>
      <c r="E99" s="76">
        <f>ELECTROMECANICA!E99+ALIMENTARIAS!E99+'INOVACION AGRICOLA'!E99+'SERVICIOS ESCOLARES'!E99+'DESARROLLO ACADEMICO'!E99</f>
        <v>0</v>
      </c>
      <c r="F99" s="85">
        <f>ELECTROMECANICA!F99+ALIMENTARIAS!F99+'INOVACION AGRICOLA'!F99+'SERVICIOS ESCOLARES'!F99+'DESARROLLO ACADEMICO'!F99</f>
        <v>0</v>
      </c>
      <c r="G99" s="99">
        <f>ELECTROMECANICA!G99+ALIMENTARIAS!G99+'INOVACION AGRICOLA'!G99+'SERVICIOS ESCOLARES'!G99+'DESARROLLO ACADEMICO'!G99</f>
        <v>88000</v>
      </c>
      <c r="H99" s="93">
        <f>ELECTROMECANICA!H99+ALIMENTARIAS!H99+'INOVACION AGRICOLA'!H99+'SERVICIOS ESCOLARES'!H99+'DESARROLLO ACADEMICO'!H99</f>
        <v>0</v>
      </c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6">
        <f>ELECTROMECANICA!E100+ALIMENTARIAS!E100+'INOVACION AGRICOLA'!E100+'SERVICIOS ESCOLARES'!E100+'DESARROLLO ACADEMICO'!E100</f>
        <v>0</v>
      </c>
      <c r="F100" s="85">
        <f>ELECTROMECANICA!F100+ALIMENTARIAS!F100+'INOVACION AGRICOLA'!F100+'SERVICIOS ESCOLARES'!F100+'DESARROLLO ACADEMICO'!F100</f>
        <v>0</v>
      </c>
      <c r="G100" s="99">
        <f>ELECTROMECANICA!G100+ALIMENTARIAS!G100+'INOVACION AGRICOLA'!G100+'SERVICIOS ESCOLARES'!G100+'DESARROLLO ACADEMICO'!G100</f>
        <v>0</v>
      </c>
      <c r="H100" s="93">
        <f>ELECTROMECANICA!H100+ALIMENTARIAS!H100+'INOVACION AGRICOLA'!H100+'SERVICIOS ESCOLARES'!H100+'DESARROLLO ACADEMICO'!H100</f>
        <v>0</v>
      </c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75000</v>
      </c>
      <c r="E101" s="76">
        <f>ELECTROMECANICA!E101+ALIMENTARIAS!E101+'INOVACION AGRICOLA'!E101+'SERVICIOS ESCOLARES'!E101+'DESARROLLO ACADEMICO'!E101</f>
        <v>0</v>
      </c>
      <c r="F101" s="85">
        <f>ELECTROMECANICA!F101+ALIMENTARIAS!F101+'INOVACION AGRICOLA'!F101+'SERVICIOS ESCOLARES'!F101+'DESARROLLO ACADEMICO'!F101</f>
        <v>0</v>
      </c>
      <c r="G101" s="99">
        <f>ELECTROMECANICA!G101+ALIMENTARIAS!G101+'INOVACION AGRICOLA'!G101+'SERVICIOS ESCOLARES'!G101+'DESARROLLO ACADEMICO'!G101</f>
        <v>20000</v>
      </c>
      <c r="H101" s="93">
        <f>ELECTROMECANICA!H101+ALIMENTARIAS!H101+'INOVACION AGRICOLA'!H101+'SERVICIOS ESCOLARES'!H101+'DESARROLLO ACADEMICO'!H101</f>
        <v>55000</v>
      </c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105069.74</v>
      </c>
      <c r="E102" s="76">
        <f>ELECTROMECANICA!E102+ALIMENTARIAS!E102+'INOVACION AGRICOLA'!E102+'SERVICIOS ESCOLARES'!E102+'DESARROLLO ACADEMICO'!E102</f>
        <v>0</v>
      </c>
      <c r="F102" s="85">
        <f>ELECTROMECANICA!F102+ALIMENTARIAS!F102+'INOVACION AGRICOLA'!F102+'SERVICIOS ESCOLARES'!F102+'DESARROLLO ACADEMICO'!F102</f>
        <v>0</v>
      </c>
      <c r="G102" s="99">
        <f>ELECTROMECANICA!G102+ALIMENTARIAS!G102+'INOVACION AGRICOLA'!G102+'SERVICIOS ESCOLARES'!G102+'DESARROLLO ACADEMICO'!G102</f>
        <v>11000</v>
      </c>
      <c r="H102" s="93">
        <f>ELECTROMECANICA!H102+ALIMENTARIAS!H102+'INOVACION AGRICOLA'!H102+'SERVICIOS ESCOLARES'!H102+'DESARROLLO ACADEMICO'!H102</f>
        <v>94069.74</v>
      </c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10000</v>
      </c>
      <c r="E103" s="76">
        <f>ELECTROMECANICA!E103+ALIMENTARIAS!E103+'INOVACION AGRICOLA'!E103+'SERVICIOS ESCOLARES'!E103+'DESARROLLO ACADEMICO'!E103</f>
        <v>0</v>
      </c>
      <c r="F103" s="85">
        <f>ELECTROMECANICA!F103+ALIMENTARIAS!F103+'INOVACION AGRICOLA'!F103+'SERVICIOS ESCOLARES'!F103+'DESARROLLO ACADEMICO'!F103</f>
        <v>0</v>
      </c>
      <c r="G103" s="99">
        <f>ELECTROMECANICA!G103+ALIMENTARIAS!G103+'INOVACION AGRICOLA'!G103+'SERVICIOS ESCOLARES'!G103+'DESARROLLO ACADEMICO'!G103</f>
        <v>0</v>
      </c>
      <c r="H103" s="93">
        <f>ELECTROMECANICA!H103+ALIMENTARIAS!H103+'INOVACION AGRICOLA'!H103+'SERVICIOS ESCOLARES'!H103+'DESARROLLO ACADEMICO'!H103</f>
        <v>10000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29518</v>
      </c>
      <c r="E104" s="76">
        <f>ELECTROMECANICA!E104+ALIMENTARIAS!E104+'INOVACION AGRICOLA'!E104+'SERVICIOS ESCOLARES'!E104+'DESARROLLO ACADEMICO'!E104</f>
        <v>0</v>
      </c>
      <c r="F104" s="85">
        <f>ELECTROMECANICA!F104+ALIMENTARIAS!F104+'INOVACION AGRICOLA'!F104+'SERVICIOS ESCOLARES'!F104+'DESARROLLO ACADEMICO'!F104</f>
        <v>0</v>
      </c>
      <c r="G104" s="99">
        <f>ELECTROMECANICA!G104+ALIMENTARIAS!G104+'INOVACION AGRICOLA'!G104+'SERVICIOS ESCOLARES'!G104+'DESARROLLO ACADEMICO'!G104</f>
        <v>4500</v>
      </c>
      <c r="H104" s="93">
        <f>ELECTROMECANICA!H104+ALIMENTARIAS!H104+'INOVACION AGRICOLA'!H104+'SERVICIOS ESCOLARES'!H104+'DESARROLLO ACADEMICO'!H104</f>
        <v>25018</v>
      </c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959587.74</v>
      </c>
      <c r="E105" s="65">
        <f t="shared" si="5"/>
        <v>13000</v>
      </c>
      <c r="F105" s="65">
        <f t="shared" si="5"/>
        <v>264000</v>
      </c>
      <c r="G105" s="65">
        <f t="shared" si="5"/>
        <v>156500</v>
      </c>
      <c r="H105" s="65">
        <f t="shared" si="5"/>
        <v>526087.74</v>
      </c>
      <c r="I105" s="30"/>
      <c r="J105" s="26"/>
    </row>
    <row r="106" spans="1:10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3">
        <f>ELECTROMECANICA!H106+ALIMENTARIAS!H106+'INOVACION AGRICOLA'!H106+'SERVICIOS ESCOLARES'!H106+'DESARROLLO ACADEMICO'!H106</f>
        <v>0</v>
      </c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>
        <f>SUM(E108:H108)</f>
        <v>45000</v>
      </c>
      <c r="E108" s="82"/>
      <c r="F108" s="90"/>
      <c r="G108" s="101"/>
      <c r="H108" s="93">
        <f>ELECTROMECANICA!H108+ALIMENTARIAS!H108+'INOVACION AGRICOLA'!H108+'SERVICIOS ESCOLARES'!H108+'DESARROLLO ACADEMICO'!H108</f>
        <v>45000</v>
      </c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 t="shared" ref="D109:D111" si="7">SUM(E109:H109)</f>
        <v>0</v>
      </c>
      <c r="E109" s="82"/>
      <c r="F109" s="90"/>
      <c r="G109" s="101"/>
      <c r="H109" s="93">
        <f>ELECTROMECANICA!H109+ALIMENTARIAS!H109+'INOVACION AGRICOLA'!H109+'SERVICIOS ESCOLARES'!H109+'DESARROLLO ACADEMICO'!H109</f>
        <v>0</v>
      </c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>
        <f t="shared" si="7"/>
        <v>600000</v>
      </c>
      <c r="E110" s="82"/>
      <c r="F110" s="90"/>
      <c r="G110" s="101"/>
      <c r="H110" s="93">
        <f>ELECTROMECANICA!H110+ALIMENTARIAS!H110+'INOVACION AGRICOLA'!H110+'SERVICIOS ESCOLARES'!H110+'DESARROLLO ACADEMICO'!H110</f>
        <v>600000</v>
      </c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>
        <f t="shared" si="7"/>
        <v>40000</v>
      </c>
      <c r="E111" s="82"/>
      <c r="F111" s="90"/>
      <c r="G111" s="101"/>
      <c r="H111" s="93">
        <f>ELECTROMECANICA!H111+ALIMENTARIAS!H111+'INOVACION AGRICOLA'!H111+'SERVICIOS ESCOLARES'!H111+'DESARROLLO ACADEMICO'!H111</f>
        <v>40000</v>
      </c>
      <c r="I111" s="72"/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685000</v>
      </c>
      <c r="E112" s="23">
        <f t="shared" ref="E112:G112" si="8">SUM(E108:E108)</f>
        <v>0</v>
      </c>
      <c r="F112" s="23">
        <f t="shared" si="8"/>
        <v>0</v>
      </c>
      <c r="G112" s="23">
        <f t="shared" si="8"/>
        <v>0</v>
      </c>
      <c r="H112" s="23">
        <f>SUM(H108:H111)</f>
        <v>685000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3">
        <f>ELECTROMECANICA!H113+ALIMENTARIAS!H113+'INOVACION AGRICOLA'!H113+'SERVICIOS ESCOLARES'!H113+'DESARROLLO ACADEMICO'!H113</f>
        <v>0</v>
      </c>
      <c r="I113" s="38"/>
    </row>
    <row r="114" spans="1:10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3">
        <f>ELECTROMECANICA!H114+ALIMENTARIAS!H114+'INOVACION AGRICOLA'!H114+'SERVICIOS ESCOLARES'!H114+'DESARROLLO ACADEMICO'!H114</f>
        <v>0</v>
      </c>
      <c r="I114" s="38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3">
        <f>ELECTROMECANICA!H115+ALIMENTARIAS!H115+'INOVACION AGRICOLA'!H115+'SERVICIOS ESCOLARES'!H115+'DESARROLLO ACADEMICO'!H115</f>
        <v>0</v>
      </c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3">
        <f>ELECTROMECANICA!H116+ALIMENTARIAS!H116+'INOVACION AGRICOLA'!H116+'SERVICIOS ESCOLARES'!H116+'DESARROLLO ACADEMICO'!H116</f>
        <v>0</v>
      </c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9">SUM(E115:E116)</f>
        <v>0</v>
      </c>
      <c r="F117" s="23">
        <f t="shared" si="9"/>
        <v>0</v>
      </c>
      <c r="G117" s="23">
        <f t="shared" si="9"/>
        <v>0</v>
      </c>
      <c r="H117" s="23">
        <f t="shared" si="9"/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10">SUM(D118:D119)</f>
        <v>0</v>
      </c>
      <c r="E120" s="23">
        <f t="shared" si="10"/>
        <v>0</v>
      </c>
      <c r="F120" s="23">
        <f t="shared" si="10"/>
        <v>0</v>
      </c>
      <c r="G120" s="23">
        <f t="shared" si="10"/>
        <v>0</v>
      </c>
      <c r="H120" s="23">
        <f t="shared" si="10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1">SUM(D120,D117,D112,D107,D105,D67,D28)</f>
        <v>9777754.7800000012</v>
      </c>
      <c r="E121" s="190">
        <f t="shared" si="11"/>
        <v>3548543.7700000005</v>
      </c>
      <c r="F121" s="190">
        <f t="shared" si="11"/>
        <v>3570969.5600000005</v>
      </c>
      <c r="G121" s="190">
        <f t="shared" si="11"/>
        <v>156500</v>
      </c>
      <c r="H121" s="190">
        <f t="shared" si="11"/>
        <v>2501741.4499999997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6"/>
  <sheetViews>
    <sheetView showGridLines="0" view="pageBreakPreview" topLeftCell="A73" zoomScale="80" zoomScaleNormal="90" zoomScaleSheetLayoutView="80" workbookViewId="0">
      <selection activeCell="E106" sqref="E106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3.85546875" style="75" bestFit="1" customWidth="1"/>
    <col min="6" max="6" width="13" style="83" customWidth="1"/>
    <col min="7" max="7" width="20.5703125" style="97" bestFit="1" customWidth="1"/>
    <col min="8" max="8" width="14.7109375" style="91" bestFit="1" customWidth="1"/>
    <col min="9" max="9" width="44.710937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'ACADEMICO TOTALIZADO'!I4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357" t="str">
        <f>'ACADEMICO TOTALIZADO'!I5</f>
        <v>DEPENDENCIA / ORGANISMO</v>
      </c>
      <c r="N5" s="7"/>
      <c r="O5" s="7"/>
    </row>
    <row r="6" spans="1:15" ht="20.25" customHeight="1" x14ac:dyDescent="0.2">
      <c r="A6" s="11"/>
      <c r="B6" s="11"/>
      <c r="C6" s="496" t="s">
        <v>255</v>
      </c>
      <c r="D6" s="496"/>
      <c r="E6" s="496"/>
      <c r="F6" s="496"/>
      <c r="G6" s="496"/>
      <c r="H6" s="496"/>
      <c r="I6" s="423" t="s">
        <v>274</v>
      </c>
      <c r="N6" s="7"/>
      <c r="O6" s="7"/>
    </row>
    <row r="7" spans="1:15" ht="12.75" customHeight="1" x14ac:dyDescent="0.2">
      <c r="A7" s="11"/>
      <c r="B7" s="11"/>
      <c r="C7" s="496"/>
      <c r="D7" s="496"/>
      <c r="E7" s="496"/>
      <c r="F7" s="496"/>
      <c r="G7" s="496"/>
      <c r="H7" s="496"/>
      <c r="I7" s="357" t="str">
        <f>'ACADEMICO TOTALIZADO'!I7</f>
        <v>PROCESO</v>
      </c>
      <c r="N7" s="7"/>
      <c r="O7" s="7"/>
    </row>
    <row r="8" spans="1:15" ht="17.25" customHeight="1" x14ac:dyDescent="0.2">
      <c r="A8" s="11"/>
      <c r="B8" s="11"/>
      <c r="C8" s="496"/>
      <c r="D8" s="496"/>
      <c r="E8" s="496"/>
      <c r="F8" s="496"/>
      <c r="G8" s="496"/>
      <c r="H8" s="496"/>
      <c r="I8" s="423" t="s">
        <v>275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'ACADEMICO TOTALIZADO'!I9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300011.7</v>
      </c>
      <c r="E13" s="76">
        <v>150005.85</v>
      </c>
      <c r="F13" s="84">
        <v>150005.85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12882.92</v>
      </c>
      <c r="E15" s="76">
        <v>6441.46</v>
      </c>
      <c r="F15" s="84">
        <v>6441.46</v>
      </c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20000.78</v>
      </c>
      <c r="E16" s="76">
        <v>10000.39</v>
      </c>
      <c r="F16" s="84">
        <v>10000.39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41668.300000000003</v>
      </c>
      <c r="E17" s="76">
        <f>16667.32+8333.66</f>
        <v>25000.98</v>
      </c>
      <c r="F17" s="84">
        <v>16667.32</v>
      </c>
      <c r="G17" s="98"/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9000.36</v>
      </c>
      <c r="E20" s="76">
        <v>4500.18</v>
      </c>
      <c r="F20" s="84">
        <v>4500.18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31501.24</v>
      </c>
      <c r="E21" s="76">
        <v>15750.62</v>
      </c>
      <c r="F21" s="84">
        <v>15750.62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6000.24</v>
      </c>
      <c r="E22" s="76">
        <v>3000.12</v>
      </c>
      <c r="F22" s="84">
        <v>3000.12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12500.49</v>
      </c>
      <c r="E25" s="76">
        <v>12500.49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0</v>
      </c>
      <c r="E26" s="76"/>
      <c r="F26" s="84"/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22356</v>
      </c>
      <c r="E27" s="76">
        <v>11178</v>
      </c>
      <c r="F27" s="84">
        <v>11178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455922.02999999997</v>
      </c>
      <c r="E28" s="65">
        <f t="shared" si="1"/>
        <v>238378.09</v>
      </c>
      <c r="F28" s="65">
        <f t="shared" si="1"/>
        <v>217543.94</v>
      </c>
      <c r="G28" s="65">
        <f t="shared" si="1"/>
        <v>0</v>
      </c>
      <c r="H28" s="65">
        <f t="shared" si="1"/>
        <v>0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4000</v>
      </c>
      <c r="E29" s="76">
        <v>1000</v>
      </c>
      <c r="F29" s="85">
        <v>3000</v>
      </c>
      <c r="G29" s="99"/>
      <c r="H29" s="93"/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7000</v>
      </c>
      <c r="E31" s="77">
        <v>1000</v>
      </c>
      <c r="F31" s="86">
        <v>1000</v>
      </c>
      <c r="G31" s="100"/>
      <c r="H31" s="94">
        <v>5000</v>
      </c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/>
      <c r="F32" s="85"/>
      <c r="G32" s="100"/>
      <c r="H32" s="103"/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/>
      <c r="F34" s="85"/>
      <c r="G34" s="99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0</v>
      </c>
      <c r="E35" s="77"/>
      <c r="F35" s="86"/>
      <c r="G35" s="100"/>
      <c r="H35" s="94"/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/>
      <c r="F37" s="85"/>
      <c r="G37" s="99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77"/>
      <c r="F44" s="85"/>
      <c r="G44" s="99"/>
      <c r="H44" s="93"/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/>
      <c r="F47" s="85"/>
      <c r="G47" s="100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77"/>
      <c r="F48" s="86"/>
      <c r="G48" s="100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7"/>
      <c r="F49" s="85"/>
      <c r="G49" s="99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9"/>
      <c r="H51" s="93"/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5"/>
      <c r="G52" s="99"/>
      <c r="H52" s="93"/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/>
      <c r="F53" s="85"/>
      <c r="G53" s="99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/>
      <c r="F57" s="85"/>
      <c r="G57" s="99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/>
      <c r="F58" s="85"/>
      <c r="G58" s="99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77"/>
      <c r="F59" s="85"/>
      <c r="G59" s="99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30"/>
    </row>
    <row r="63" spans="1:9" s="21" customFormat="1" ht="24" x14ac:dyDescent="0.2">
      <c r="A63" s="54">
        <v>2951</v>
      </c>
      <c r="B63" s="64"/>
      <c r="C63" s="51" t="s">
        <v>75</v>
      </c>
      <c r="D63" s="61">
        <f t="shared" si="2"/>
        <v>0</v>
      </c>
      <c r="E63" s="77"/>
      <c r="F63" s="86"/>
      <c r="G63" s="99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77"/>
      <c r="F65" s="85"/>
      <c r="G65" s="99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11000</v>
      </c>
      <c r="E67" s="66">
        <f t="shared" ref="E67:G67" si="3">SUM(E29:E66)</f>
        <v>2000</v>
      </c>
      <c r="F67" s="66">
        <f t="shared" si="3"/>
        <v>4000</v>
      </c>
      <c r="G67" s="66">
        <f t="shared" si="3"/>
        <v>0</v>
      </c>
      <c r="H67" s="66">
        <f>SUM(H29:H66)</f>
        <v>5000</v>
      </c>
      <c r="I67" s="25"/>
      <c r="J67" s="26">
        <f>SUM(E67:I67)</f>
        <v>11000</v>
      </c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/>
      <c r="F69" s="86"/>
      <c r="G69" s="99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377973.94</v>
      </c>
      <c r="E72" s="77">
        <f>93755.43+36463.08+21000</f>
        <v>151218.51</v>
      </c>
      <c r="F72" s="86">
        <v>171755.43</v>
      </c>
      <c r="G72" s="100"/>
      <c r="H72" s="94">
        <v>55000</v>
      </c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0</v>
      </c>
      <c r="E73" s="77"/>
      <c r="F73" s="86"/>
      <c r="G73" s="100"/>
      <c r="H73" s="94"/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/>
      <c r="F74" s="86"/>
      <c r="G74" s="100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/>
      <c r="F75" s="85"/>
      <c r="G75" s="99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0</v>
      </c>
      <c r="E80" s="77"/>
      <c r="F80" s="85"/>
      <c r="G80" s="99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0</v>
      </c>
      <c r="E82" s="77"/>
      <c r="F82" s="88"/>
      <c r="G82" s="99"/>
      <c r="H82" s="93"/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/>
      <c r="E84" s="77"/>
      <c r="F84" s="86"/>
      <c r="G84" s="100"/>
      <c r="H84" s="94"/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77"/>
      <c r="F94" s="85"/>
      <c r="G94" s="99"/>
      <c r="H94" s="93"/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0</v>
      </c>
      <c r="E96" s="77"/>
      <c r="F96" s="86"/>
      <c r="G96" s="100"/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14000</v>
      </c>
      <c r="E97" s="77"/>
      <c r="F97" s="85"/>
      <c r="G97" s="99">
        <v>8000</v>
      </c>
      <c r="H97" s="94">
        <v>6000</v>
      </c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0</v>
      </c>
      <c r="E98" s="77"/>
      <c r="F98" s="86"/>
      <c r="G98" s="100"/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26000</v>
      </c>
      <c r="E99" s="77"/>
      <c r="F99" s="86"/>
      <c r="G99" s="100">
        <v>6000</v>
      </c>
      <c r="H99" s="94">
        <v>20000</v>
      </c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/>
      <c r="F100" s="86"/>
      <c r="G100" s="104"/>
      <c r="H100" s="94"/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77"/>
      <c r="F101" s="86"/>
      <c r="G101" s="100"/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77"/>
      <c r="F102" s="86"/>
      <c r="G102" s="100"/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5000</v>
      </c>
      <c r="E103" s="77"/>
      <c r="F103" s="86"/>
      <c r="G103" s="100"/>
      <c r="H103" s="94">
        <v>5000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80"/>
      <c r="F104" s="89"/>
      <c r="G104" s="106"/>
      <c r="H104" s="95"/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422973.94</v>
      </c>
      <c r="E105" s="65">
        <f t="shared" si="5"/>
        <v>151218.51</v>
      </c>
      <c r="F105" s="65">
        <f t="shared" si="5"/>
        <v>171755.43</v>
      </c>
      <c r="G105" s="65">
        <f t="shared" si="5"/>
        <v>14000</v>
      </c>
      <c r="H105" s="65">
        <f t="shared" si="5"/>
        <v>86000</v>
      </c>
      <c r="I105" s="30"/>
      <c r="J105" s="26"/>
    </row>
    <row r="106" spans="1:10" x14ac:dyDescent="0.2">
      <c r="A106" s="68">
        <v>4419</v>
      </c>
      <c r="B106" s="68"/>
      <c r="C106" s="68" t="s">
        <v>122</v>
      </c>
      <c r="D106" s="36">
        <f>SUM(E106:H106)</f>
        <v>543854.64</v>
      </c>
      <c r="E106" s="130">
        <f>331807.98+212046.66</f>
        <v>543854.64</v>
      </c>
      <c r="F106" s="90"/>
      <c r="G106" s="101"/>
      <c r="H106" s="129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543854.64</v>
      </c>
      <c r="E107" s="23">
        <f t="shared" si="6"/>
        <v>543854.64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>
        <f>SUM(E108:H108)</f>
        <v>190000</v>
      </c>
      <c r="E108" s="82"/>
      <c r="F108" s="90"/>
      <c r="G108" s="101"/>
      <c r="H108" s="129">
        <f>220000-30000</f>
        <v>190000</v>
      </c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 t="shared" ref="D109:D111" si="7">SUM(E109:H109)</f>
        <v>0</v>
      </c>
      <c r="E109" s="82"/>
      <c r="F109" s="90"/>
      <c r="G109" s="101"/>
      <c r="H109" s="96"/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>
        <f t="shared" si="7"/>
        <v>0</v>
      </c>
      <c r="E110" s="82"/>
      <c r="F110" s="90"/>
      <c r="G110" s="101"/>
      <c r="H110" s="96"/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>
        <f t="shared" si="7"/>
        <v>57736.84</v>
      </c>
      <c r="E111" s="82"/>
      <c r="F111" s="90"/>
      <c r="G111" s="101"/>
      <c r="H111" s="129">
        <v>57736.84</v>
      </c>
      <c r="I111" s="72" t="s">
        <v>210</v>
      </c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247736.84</v>
      </c>
      <c r="E112" s="23">
        <f t="shared" ref="E112:G112" si="8">SUM(E108:E111)</f>
        <v>0</v>
      </c>
      <c r="F112" s="23">
        <f t="shared" si="8"/>
        <v>0</v>
      </c>
      <c r="G112" s="23">
        <f t="shared" si="8"/>
        <v>0</v>
      </c>
      <c r="H112" s="23">
        <f>SUM(H108:H111)</f>
        <v>247736.84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6"/>
      <c r="I113" s="38"/>
    </row>
    <row r="114" spans="1:10" s="11" customFormat="1" ht="25.5" x14ac:dyDescent="0.2">
      <c r="A114" s="22"/>
      <c r="B114" s="22"/>
      <c r="C114" s="62" t="s">
        <v>119</v>
      </c>
      <c r="D114" s="23">
        <f>SUM(D113:D113)</f>
        <v>0</v>
      </c>
      <c r="E114" s="23"/>
      <c r="F114" s="23"/>
      <c r="G114" s="23"/>
      <c r="H114" s="23"/>
      <c r="I114" s="25"/>
      <c r="J114" s="26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</row>
    <row r="117" spans="1:10" s="11" customFormat="1" x14ac:dyDescent="0.2">
      <c r="A117" s="22"/>
      <c r="B117" s="22"/>
      <c r="C117" s="62" t="s">
        <v>120</v>
      </c>
      <c r="D117" s="23">
        <f t="shared" ref="D117:H117" si="9">SUM(D115:D116)</f>
        <v>0</v>
      </c>
      <c r="E117" s="23">
        <f t="shared" si="9"/>
        <v>0</v>
      </c>
      <c r="F117" s="23">
        <f t="shared" si="9"/>
        <v>0</v>
      </c>
      <c r="G117" s="23">
        <f t="shared" si="9"/>
        <v>0</v>
      </c>
      <c r="H117" s="23">
        <f t="shared" si="9"/>
        <v>0</v>
      </c>
      <c r="I117" s="25"/>
    </row>
    <row r="118" spans="1:10" s="11" customFormat="1" ht="17.25" customHeight="1" x14ac:dyDescent="0.2">
      <c r="A118" s="188"/>
      <c r="B118" s="188"/>
      <c r="C118" s="189" t="s">
        <v>19</v>
      </c>
      <c r="D118" s="190">
        <f>SUM(D117,D114,D112,D107,D105,D67,D28)</f>
        <v>1681487.45</v>
      </c>
      <c r="E118" s="190">
        <f>SUM(E117,E114,E112,E107,E105,E67,E28)</f>
        <v>935451.24</v>
      </c>
      <c r="F118" s="190">
        <f>SUM(F117,F114,F112,F107,F105,F67,F28)</f>
        <v>393299.37</v>
      </c>
      <c r="G118" s="190">
        <f>SUM(G117,G114,G112,G107,G105,G67,G28)</f>
        <v>14000</v>
      </c>
      <c r="H118" s="190">
        <f>SUM(H117,H114,H112,H107,H105,H67,H28)</f>
        <v>338736.83999999997</v>
      </c>
      <c r="I118" s="192"/>
      <c r="J118" s="26"/>
    </row>
    <row r="119" spans="1:10" x14ac:dyDescent="0.2">
      <c r="D119" s="108"/>
      <c r="E119" s="73"/>
      <c r="F119" s="73"/>
      <c r="G119" s="73"/>
      <c r="H119" s="73"/>
    </row>
    <row r="120" spans="1:10" x14ac:dyDescent="0.2">
      <c r="D120" s="108"/>
      <c r="E120" s="73"/>
      <c r="F120" s="73"/>
      <c r="G120" s="73"/>
      <c r="H120" s="73"/>
    </row>
    <row r="121" spans="1:10" x14ac:dyDescent="0.2">
      <c r="B121" s="43"/>
      <c r="C121" s="122" t="s">
        <v>142</v>
      </c>
      <c r="D121" s="123"/>
      <c r="E121" s="124" t="s">
        <v>131</v>
      </c>
      <c r="F121" s="124"/>
      <c r="G121" s="124"/>
      <c r="H121" s="124"/>
      <c r="I121" s="43" t="s">
        <v>133</v>
      </c>
    </row>
    <row r="122" spans="1:10" x14ac:dyDescent="0.2">
      <c r="B122" s="43"/>
      <c r="C122" s="122"/>
      <c r="D122" s="123"/>
      <c r="E122" s="124"/>
      <c r="F122" s="124"/>
      <c r="G122" s="124"/>
      <c r="H122" s="124"/>
    </row>
    <row r="123" spans="1:10" x14ac:dyDescent="0.2">
      <c r="B123" s="43"/>
      <c r="C123" s="122" t="s">
        <v>130</v>
      </c>
      <c r="D123" s="123"/>
      <c r="E123" s="124" t="s">
        <v>132</v>
      </c>
      <c r="F123" s="73"/>
      <c r="G123" s="124"/>
      <c r="H123" s="124"/>
      <c r="I123" s="43" t="s">
        <v>143</v>
      </c>
    </row>
    <row r="124" spans="1:10" x14ac:dyDescent="0.2">
      <c r="D124" s="108"/>
      <c r="E124" s="73"/>
      <c r="F124" s="73"/>
      <c r="G124" s="73"/>
      <c r="H124" s="73"/>
    </row>
    <row r="125" spans="1:10" x14ac:dyDescent="0.2">
      <c r="D125" s="108"/>
      <c r="E125" s="73"/>
      <c r="F125" s="73"/>
      <c r="G125" s="73"/>
      <c r="H125" s="73"/>
    </row>
    <row r="126" spans="1:10" x14ac:dyDescent="0.2">
      <c r="D126" s="108"/>
      <c r="E126" s="73"/>
      <c r="F126" s="73"/>
      <c r="G126" s="73"/>
      <c r="H126" s="73"/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115"/>
      <c r="H128" s="73"/>
    </row>
    <row r="129" spans="4:8" x14ac:dyDescent="0.2">
      <c r="D129" s="108"/>
      <c r="E129" s="73"/>
      <c r="F129" s="73"/>
      <c r="G129" s="115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6"/>
      <c r="H131" s="73"/>
    </row>
    <row r="132" spans="4:8" x14ac:dyDescent="0.2">
      <c r="D132" s="108"/>
      <c r="E132" s="73"/>
      <c r="F132" s="73"/>
      <c r="G132" s="116"/>
      <c r="H132" s="116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73"/>
      <c r="H134" s="73"/>
    </row>
    <row r="135" spans="4:8" x14ac:dyDescent="0.2">
      <c r="D135" s="108"/>
      <c r="E135" s="73"/>
      <c r="F135" s="73"/>
      <c r="G135" s="73"/>
      <c r="H135" s="73"/>
    </row>
    <row r="136" spans="4:8" x14ac:dyDescent="0.2">
      <c r="D136" s="108"/>
      <c r="E136" s="73"/>
      <c r="F136" s="116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73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topLeftCell="A73" zoomScale="80" zoomScaleNormal="90" zoomScaleSheetLayoutView="80" workbookViewId="0">
      <selection activeCell="G35" sqref="G35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6.28515625" style="75" customWidth="1"/>
    <col min="6" max="6" width="14.5703125" style="83" customWidth="1"/>
    <col min="7" max="7" width="22" style="97" customWidth="1"/>
    <col min="8" max="8" width="16" style="91" customWidth="1"/>
    <col min="9" max="9" width="46.4257812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PLANEACION!I4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9" t="s">
        <v>22</v>
      </c>
      <c r="N5" s="7"/>
      <c r="O5" s="7"/>
    </row>
    <row r="6" spans="1:15" ht="20.25" customHeight="1" x14ac:dyDescent="0.2">
      <c r="A6" s="11"/>
      <c r="B6" s="11"/>
      <c r="C6" s="495" t="s">
        <v>255</v>
      </c>
      <c r="D6" s="495"/>
      <c r="E6" s="495"/>
      <c r="F6" s="495"/>
      <c r="G6" s="495"/>
      <c r="H6" s="495"/>
      <c r="I6" s="423" t="str">
        <f>PLANEACION!I6</f>
        <v>SUBDIRECCION ADMINISTRATIVA</v>
      </c>
      <c r="N6" s="7"/>
      <c r="O6" s="7"/>
    </row>
    <row r="7" spans="1:15" ht="12.75" customHeight="1" x14ac:dyDescent="0.2">
      <c r="A7" s="11"/>
      <c r="B7" s="11"/>
      <c r="C7" s="495"/>
      <c r="D7" s="495"/>
      <c r="E7" s="495"/>
      <c r="F7" s="495"/>
      <c r="G7" s="495"/>
      <c r="H7" s="495"/>
      <c r="I7" s="357" t="str">
        <f>PLANEACION!I7</f>
        <v>PROCESO</v>
      </c>
      <c r="N7" s="7"/>
      <c r="O7" s="7"/>
    </row>
    <row r="8" spans="1:15" ht="17.25" customHeight="1" x14ac:dyDescent="0.2">
      <c r="A8" s="11"/>
      <c r="B8" s="11"/>
      <c r="C8" s="495"/>
      <c r="D8" s="495"/>
      <c r="E8" s="495"/>
      <c r="F8" s="495"/>
      <c r="G8" s="495"/>
      <c r="H8" s="495"/>
      <c r="I8" s="423" t="s">
        <v>140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PLANEACION!I9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742268.6</v>
      </c>
      <c r="E13" s="76">
        <v>371134.3</v>
      </c>
      <c r="F13" s="84">
        <v>371134.3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0</v>
      </c>
      <c r="E14" s="76"/>
      <c r="F14" s="84"/>
      <c r="G14" s="98"/>
      <c r="H14" s="92"/>
      <c r="I14" s="47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0</v>
      </c>
      <c r="E15" s="76"/>
      <c r="F15" s="84"/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61485.82</v>
      </c>
      <c r="E16" s="76">
        <v>30742.91</v>
      </c>
      <c r="F16" s="84">
        <v>30742.91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177095.45</v>
      </c>
      <c r="E17" s="76">
        <f>51238.18+25619.09</f>
        <v>76857.27</v>
      </c>
      <c r="F17" s="84">
        <v>51238.18</v>
      </c>
      <c r="G17" s="209">
        <v>49000</v>
      </c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76"/>
      <c r="F19" s="84"/>
      <c r="G19" s="98"/>
      <c r="H19" s="92"/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27668.62</v>
      </c>
      <c r="E20" s="76">
        <v>13834.31</v>
      </c>
      <c r="F20" s="84">
        <v>13834.31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96840.16</v>
      </c>
      <c r="E21" s="76">
        <v>48420.08</v>
      </c>
      <c r="F21" s="84">
        <v>48420.08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18445.740000000002</v>
      </c>
      <c r="E22" s="76">
        <v>9222.8700000000008</v>
      </c>
      <c r="F22" s="84">
        <v>9222.8700000000008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47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14548.14</v>
      </c>
      <c r="E25" s="76">
        <v>14548.14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16032</v>
      </c>
      <c r="E26" s="76">
        <v>16032</v>
      </c>
      <c r="F26" s="84"/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67272</v>
      </c>
      <c r="E27" s="76">
        <f>22560+22356</f>
        <v>44916</v>
      </c>
      <c r="F27" s="84">
        <v>22356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1221656.5299999998</v>
      </c>
      <c r="E28" s="65">
        <f t="shared" si="1"/>
        <v>625707.88</v>
      </c>
      <c r="F28" s="65">
        <f t="shared" si="1"/>
        <v>546948.65</v>
      </c>
      <c r="G28" s="65">
        <f t="shared" si="1"/>
        <v>49000</v>
      </c>
      <c r="H28" s="65">
        <f t="shared" si="1"/>
        <v>0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3" si="2">SUM(E29:H29)</f>
        <v>16000</v>
      </c>
      <c r="E29" s="76">
        <v>1000</v>
      </c>
      <c r="F29" s="85">
        <v>5000</v>
      </c>
      <c r="G29" s="99"/>
      <c r="H29" s="93">
        <v>10000</v>
      </c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77"/>
      <c r="F30" s="85"/>
      <c r="G30" s="99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0</v>
      </c>
      <c r="E31" s="77"/>
      <c r="F31" s="86"/>
      <c r="G31" s="100"/>
      <c r="H31" s="94"/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/>
      <c r="F32" s="85"/>
      <c r="G32" s="100"/>
      <c r="H32" s="103"/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77"/>
      <c r="F33" s="85"/>
      <c r="G33" s="100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/>
      <c r="F34" s="85"/>
      <c r="G34" s="99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49000</v>
      </c>
      <c r="E35" s="77">
        <v>14500</v>
      </c>
      <c r="F35" s="86">
        <v>14500</v>
      </c>
      <c r="G35" s="181">
        <v>10000</v>
      </c>
      <c r="H35" s="94">
        <v>10000</v>
      </c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77"/>
      <c r="F36" s="85"/>
      <c r="G36" s="99"/>
      <c r="H36" s="93"/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/>
      <c r="F37" s="85"/>
      <c r="G37" s="99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77"/>
      <c r="F38" s="85"/>
      <c r="G38" s="99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77"/>
      <c r="F39" s="85"/>
      <c r="G39" s="99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77"/>
      <c r="F40" s="85"/>
      <c r="G40" s="99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77"/>
      <c r="F41" s="85"/>
      <c r="G41" s="99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77"/>
      <c r="F42" s="85"/>
      <c r="G42" s="99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77"/>
      <c r="F43" s="85"/>
      <c r="G43" s="99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77"/>
      <c r="F44" s="85"/>
      <c r="G44" s="99"/>
      <c r="H44" s="93"/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77"/>
      <c r="F45" s="86"/>
      <c r="G45" s="99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77"/>
      <c r="F46" s="86"/>
      <c r="G46" s="100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/>
      <c r="F47" s="85"/>
      <c r="G47" s="100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77"/>
      <c r="F48" s="86"/>
      <c r="G48" s="100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77"/>
      <c r="F49" s="85"/>
      <c r="G49" s="99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77"/>
      <c r="F50" s="85"/>
      <c r="G50" s="99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9"/>
      <c r="H51" s="93"/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5"/>
      <c r="G52" s="99"/>
      <c r="H52" s="93"/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/>
      <c r="F53" s="85"/>
      <c r="G53" s="99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0</v>
      </c>
      <c r="E54" s="77"/>
      <c r="F54" s="86"/>
      <c r="G54" s="100"/>
      <c r="H54" s="94"/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77"/>
      <c r="F55" s="86"/>
      <c r="G55" s="99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77"/>
      <c r="F56" s="85"/>
      <c r="G56" s="99"/>
      <c r="H56" s="93"/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/>
      <c r="F57" s="85"/>
      <c r="G57" s="99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/>
      <c r="F58" s="85"/>
      <c r="G58" s="99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77"/>
      <c r="F59" s="85"/>
      <c r="G59" s="99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77"/>
      <c r="F60" s="85"/>
      <c r="G60" s="99"/>
      <c r="H60" s="93"/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77"/>
      <c r="F61" s="85"/>
      <c r="G61" s="99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77"/>
      <c r="F62" s="85"/>
      <c r="G62" s="99"/>
      <c r="H62" s="93"/>
      <c r="I62" s="30"/>
    </row>
    <row r="63" spans="1:9" s="21" customFormat="1" ht="24" x14ac:dyDescent="0.2">
      <c r="A63" s="54">
        <v>2951</v>
      </c>
      <c r="B63" s="64"/>
      <c r="C63" s="51" t="s">
        <v>75</v>
      </c>
      <c r="D63" s="61">
        <f t="shared" si="2"/>
        <v>0</v>
      </c>
      <c r="E63" s="77"/>
      <c r="F63" s="86"/>
      <c r="G63" s="99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>SUM(G64:H64)</f>
        <v>0</v>
      </c>
      <c r="E64" s="78"/>
      <c r="F64" s="87"/>
      <c r="G64" s="100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>SUM(E65:H65)</f>
        <v>0</v>
      </c>
      <c r="E65" s="77"/>
      <c r="F65" s="85"/>
      <c r="G65" s="99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0</v>
      </c>
      <c r="E66" s="77"/>
      <c r="F66" s="85"/>
      <c r="G66" s="99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65000</v>
      </c>
      <c r="E67" s="66">
        <f>SUM(E29:E66)</f>
        <v>15500</v>
      </c>
      <c r="F67" s="66">
        <f t="shared" ref="F67:H67" si="3">SUM(F29:F66)</f>
        <v>19500</v>
      </c>
      <c r="G67" s="66">
        <f t="shared" si="3"/>
        <v>10000</v>
      </c>
      <c r="H67" s="66">
        <f t="shared" si="3"/>
        <v>20000</v>
      </c>
      <c r="I67" s="25"/>
      <c r="J67" s="26">
        <f>SUM(E67:I67)</f>
        <v>65000</v>
      </c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0</v>
      </c>
      <c r="E68" s="77"/>
      <c r="F68" s="86"/>
      <c r="G68" s="100"/>
      <c r="H68" s="94"/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/>
      <c r="F69" s="86"/>
      <c r="G69" s="99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9"/>
      <c r="F70" s="85"/>
      <c r="G70" s="99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0</v>
      </c>
      <c r="E71" s="77"/>
      <c r="F71" s="86"/>
      <c r="G71" s="100"/>
      <c r="H71" s="94"/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/>
      <c r="G72" s="100"/>
      <c r="H72" s="94"/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3000</v>
      </c>
      <c r="E73" s="77"/>
      <c r="F73" s="86"/>
      <c r="G73" s="100"/>
      <c r="H73" s="94">
        <v>3000</v>
      </c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31500</v>
      </c>
      <c r="E74" s="77"/>
      <c r="F74" s="86">
        <v>31500</v>
      </c>
      <c r="G74" s="100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/>
      <c r="F75" s="85"/>
      <c r="G75" s="99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0</v>
      </c>
      <c r="E76" s="77"/>
      <c r="F76" s="85"/>
      <c r="G76" s="99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0</v>
      </c>
      <c r="E77" s="77"/>
      <c r="F77" s="86"/>
      <c r="G77" s="100"/>
      <c r="H77" s="94"/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0</v>
      </c>
      <c r="E78" s="77"/>
      <c r="F78" s="86"/>
      <c r="G78" s="100"/>
      <c r="H78" s="94"/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0</v>
      </c>
      <c r="E79" s="77"/>
      <c r="F79" s="85"/>
      <c r="G79" s="99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0</v>
      </c>
      <c r="E80" s="77"/>
      <c r="F80" s="85"/>
      <c r="G80" s="99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0</v>
      </c>
      <c r="E81" s="77"/>
      <c r="F81" s="85"/>
      <c r="G81" s="99"/>
      <c r="H81" s="93"/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0</v>
      </c>
      <c r="E82" s="77"/>
      <c r="F82" s="88"/>
      <c r="G82" s="99"/>
      <c r="H82" s="93"/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/>
      <c r="F83" s="85"/>
      <c r="G83" s="99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/>
      <c r="E84" s="77"/>
      <c r="F84" s="86"/>
      <c r="G84" s="100"/>
      <c r="H84" s="94"/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0</v>
      </c>
      <c r="E85" s="77"/>
      <c r="F85" s="86"/>
      <c r="G85" s="100"/>
      <c r="H85" s="94"/>
      <c r="I85" s="30"/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0</v>
      </c>
      <c r="E86" s="77"/>
      <c r="F86" s="85"/>
      <c r="G86" s="99"/>
      <c r="H86" s="93"/>
      <c r="I86" s="30"/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0</v>
      </c>
      <c r="E87" s="77"/>
      <c r="F87" s="85"/>
      <c r="G87" s="99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0</v>
      </c>
      <c r="E88" s="77"/>
      <c r="F88" s="85"/>
      <c r="G88" s="99"/>
      <c r="H88" s="93"/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0</v>
      </c>
      <c r="E89" s="77"/>
      <c r="F89" s="86"/>
      <c r="G89" s="100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/>
      <c r="F90" s="86"/>
      <c r="G90" s="104"/>
      <c r="H90" s="93"/>
      <c r="I90" s="30"/>
    </row>
    <row r="91" spans="1:9" s="21" customFormat="1" ht="24" x14ac:dyDescent="0.2">
      <c r="A91" s="54">
        <v>3551</v>
      </c>
      <c r="B91" s="64"/>
      <c r="C91" s="49" t="s">
        <v>103</v>
      </c>
      <c r="D91" s="61">
        <f t="shared" si="4"/>
        <v>0</v>
      </c>
      <c r="E91" s="77"/>
      <c r="F91" s="85"/>
      <c r="G91" s="105"/>
      <c r="H91" s="94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0</v>
      </c>
      <c r="E92" s="77"/>
      <c r="F92" s="88"/>
      <c r="G92" s="105"/>
      <c r="H92" s="93"/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0</v>
      </c>
      <c r="E93" s="77"/>
      <c r="F93" s="88"/>
      <c r="G93" s="105"/>
      <c r="H93" s="93"/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30000</v>
      </c>
      <c r="E94" s="77"/>
      <c r="F94" s="85"/>
      <c r="G94" s="99">
        <v>30000</v>
      </c>
      <c r="H94" s="93"/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77"/>
      <c r="F95" s="85"/>
      <c r="G95" s="99"/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0</v>
      </c>
      <c r="E96" s="77"/>
      <c r="F96" s="86"/>
      <c r="G96" s="100"/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27000</v>
      </c>
      <c r="E97" s="77"/>
      <c r="F97" s="85"/>
      <c r="G97" s="99">
        <v>19000</v>
      </c>
      <c r="H97" s="94">
        <v>8000</v>
      </c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0</v>
      </c>
      <c r="E98" s="77"/>
      <c r="F98" s="86"/>
      <c r="G98" s="100"/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71000</v>
      </c>
      <c r="E99" s="77"/>
      <c r="F99" s="86"/>
      <c r="G99" s="181">
        <f>11000+15000</f>
        <v>26000</v>
      </c>
      <c r="H99" s="94">
        <v>45000</v>
      </c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/>
      <c r="F100" s="86"/>
      <c r="G100" s="104"/>
      <c r="H100" s="94"/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77"/>
      <c r="F101" s="86"/>
      <c r="G101" s="100"/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77"/>
      <c r="F102" s="86"/>
      <c r="G102" s="100"/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10000</v>
      </c>
      <c r="E103" s="77"/>
      <c r="F103" s="86"/>
      <c r="G103" s="100"/>
      <c r="H103" s="94">
        <v>10000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80"/>
      <c r="F104" s="89"/>
      <c r="G104" s="106"/>
      <c r="H104" s="95"/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172500</v>
      </c>
      <c r="E105" s="65">
        <f t="shared" si="5"/>
        <v>0</v>
      </c>
      <c r="F105" s="65">
        <f t="shared" si="5"/>
        <v>31500</v>
      </c>
      <c r="G105" s="65">
        <f t="shared" si="5"/>
        <v>75000</v>
      </c>
      <c r="H105" s="65">
        <f t="shared" si="5"/>
        <v>66000</v>
      </c>
      <c r="I105" s="30"/>
      <c r="J105" s="26"/>
    </row>
    <row r="106" spans="1:10" x14ac:dyDescent="0.2">
      <c r="A106" s="35"/>
      <c r="B106" s="35"/>
      <c r="C106" s="60"/>
      <c r="D106" s="36">
        <f>SUM(E106:H106)</f>
        <v>0</v>
      </c>
      <c r="E106" s="81"/>
      <c r="F106" s="90"/>
      <c r="G106" s="101"/>
      <c r="H106" s="96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>
        <f>SUM(E108:H108)</f>
        <v>0</v>
      </c>
      <c r="E108" s="82"/>
      <c r="F108" s="90"/>
      <c r="G108" s="101"/>
      <c r="H108" s="96"/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 t="shared" ref="D109:D111" si="7">SUM(E109:H109)</f>
        <v>519106.60000000003</v>
      </c>
      <c r="E109" s="82"/>
      <c r="F109" s="90"/>
      <c r="G109" s="211">
        <v>93610.76</v>
      </c>
      <c r="H109" s="129">
        <f>410495.84+15000</f>
        <v>425495.84</v>
      </c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>
        <f t="shared" si="7"/>
        <v>0</v>
      </c>
      <c r="E110" s="82"/>
      <c r="F110" s="90"/>
      <c r="G110" s="101"/>
      <c r="H110" s="96"/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>
        <f t="shared" si="7"/>
        <v>130000</v>
      </c>
      <c r="E111" s="82"/>
      <c r="F111" s="90"/>
      <c r="G111" s="101"/>
      <c r="H111" s="129">
        <f>130000</f>
        <v>130000</v>
      </c>
      <c r="I111" s="72" t="s">
        <v>211</v>
      </c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649106.60000000009</v>
      </c>
      <c r="E112" s="23">
        <f t="shared" ref="E112:F112" si="8">SUM(E108:E111)</f>
        <v>0</v>
      </c>
      <c r="F112" s="23">
        <f t="shared" si="8"/>
        <v>0</v>
      </c>
      <c r="G112" s="23">
        <f>SUM(G108:G111)</f>
        <v>93610.76</v>
      </c>
      <c r="H112" s="23">
        <f>SUM(H108:H111)</f>
        <v>555495.84000000008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81"/>
      <c r="F113" s="90"/>
      <c r="G113" s="101"/>
      <c r="H113" s="96"/>
      <c r="I113" s="38"/>
    </row>
    <row r="114" spans="1:10" x14ac:dyDescent="0.2">
      <c r="A114" s="35"/>
      <c r="B114" s="35"/>
      <c r="C114" s="60"/>
      <c r="D114" s="36">
        <f>SUM(E114:H114)</f>
        <v>0</v>
      </c>
      <c r="E114" s="81"/>
      <c r="F114" s="90"/>
      <c r="G114" s="101"/>
      <c r="H114" s="96"/>
      <c r="I114" s="38"/>
    </row>
    <row r="115" spans="1:10" x14ac:dyDescent="0.2">
      <c r="A115" s="35"/>
      <c r="B115" s="35"/>
      <c r="C115" s="60"/>
      <c r="D115" s="36">
        <f>SUM(E115:H115)</f>
        <v>0</v>
      </c>
      <c r="E115" s="81"/>
      <c r="F115" s="90"/>
      <c r="G115" s="101"/>
      <c r="H115" s="96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81"/>
      <c r="F116" s="90"/>
      <c r="G116" s="101"/>
      <c r="H116" s="96"/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H117" si="9">SUM(E115:E116)</f>
        <v>0</v>
      </c>
      <c r="F117" s="23">
        <f t="shared" si="9"/>
        <v>0</v>
      </c>
      <c r="G117" s="23">
        <f t="shared" si="9"/>
        <v>0</v>
      </c>
      <c r="H117" s="23">
        <f t="shared" si="9"/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10">SUM(D118:D119)</f>
        <v>0</v>
      </c>
      <c r="E120" s="23">
        <f t="shared" si="10"/>
        <v>0</v>
      </c>
      <c r="F120" s="23">
        <f t="shared" si="10"/>
        <v>0</v>
      </c>
      <c r="G120" s="23">
        <f t="shared" si="10"/>
        <v>0</v>
      </c>
      <c r="H120" s="23">
        <f t="shared" si="10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1">SUM(D120,D117,D112,D107,D105,D67,D28)</f>
        <v>2108263.13</v>
      </c>
      <c r="E121" s="190">
        <f t="shared" si="11"/>
        <v>641207.88</v>
      </c>
      <c r="F121" s="190">
        <f t="shared" si="11"/>
        <v>597948.65</v>
      </c>
      <c r="G121" s="190">
        <f t="shared" si="11"/>
        <v>227610.76</v>
      </c>
      <c r="H121" s="190">
        <f t="shared" si="11"/>
        <v>641495.84000000008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29"/>
  <sheetViews>
    <sheetView showGridLines="0" view="pageBreakPreview" zoomScale="80" zoomScaleNormal="90" zoomScaleSheetLayoutView="80" workbookViewId="0">
      <selection activeCell="F15" sqref="F15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5.7109375" style="75" customWidth="1"/>
    <col min="6" max="6" width="17.85546875" style="83" customWidth="1"/>
    <col min="7" max="7" width="20.5703125" style="97" bestFit="1" customWidth="1"/>
    <col min="8" max="8" width="16.28515625" style="91" customWidth="1"/>
    <col min="9" max="9" width="51.28515625" style="43" customWidth="1"/>
    <col min="10" max="10" width="27.42578125" style="2" customWidth="1"/>
    <col min="11" max="11" width="11.42578125" style="2"/>
    <col min="12" max="12" width="14.140625" style="2" bestFit="1" customWidth="1"/>
    <col min="13" max="248" width="11.42578125" style="2"/>
    <col min="249" max="249" width="9.7109375" style="2" customWidth="1"/>
    <col min="250" max="250" width="6" style="2" customWidth="1"/>
    <col min="251" max="251" width="60.5703125" style="2" customWidth="1"/>
    <col min="252" max="252" width="15.5703125" style="2" customWidth="1"/>
    <col min="253" max="264" width="13.28515625" style="2" customWidth="1"/>
    <col min="265" max="504" width="11.42578125" style="2"/>
    <col min="505" max="505" width="9.7109375" style="2" customWidth="1"/>
    <col min="506" max="506" width="6" style="2" customWidth="1"/>
    <col min="507" max="507" width="60.5703125" style="2" customWidth="1"/>
    <col min="508" max="508" width="15.5703125" style="2" customWidth="1"/>
    <col min="509" max="520" width="13.28515625" style="2" customWidth="1"/>
    <col min="521" max="760" width="11.42578125" style="2"/>
    <col min="761" max="761" width="9.7109375" style="2" customWidth="1"/>
    <col min="762" max="762" width="6" style="2" customWidth="1"/>
    <col min="763" max="763" width="60.5703125" style="2" customWidth="1"/>
    <col min="764" max="764" width="15.5703125" style="2" customWidth="1"/>
    <col min="765" max="776" width="13.28515625" style="2" customWidth="1"/>
    <col min="777" max="1016" width="11.42578125" style="2"/>
    <col min="1017" max="1017" width="9.7109375" style="2" customWidth="1"/>
    <col min="1018" max="1018" width="6" style="2" customWidth="1"/>
    <col min="1019" max="1019" width="60.5703125" style="2" customWidth="1"/>
    <col min="1020" max="1020" width="15.5703125" style="2" customWidth="1"/>
    <col min="1021" max="1032" width="13.28515625" style="2" customWidth="1"/>
    <col min="1033" max="1272" width="11.42578125" style="2"/>
    <col min="1273" max="1273" width="9.7109375" style="2" customWidth="1"/>
    <col min="1274" max="1274" width="6" style="2" customWidth="1"/>
    <col min="1275" max="1275" width="60.5703125" style="2" customWidth="1"/>
    <col min="1276" max="1276" width="15.5703125" style="2" customWidth="1"/>
    <col min="1277" max="1288" width="13.28515625" style="2" customWidth="1"/>
    <col min="1289" max="1528" width="11.42578125" style="2"/>
    <col min="1529" max="1529" width="9.7109375" style="2" customWidth="1"/>
    <col min="1530" max="1530" width="6" style="2" customWidth="1"/>
    <col min="1531" max="1531" width="60.5703125" style="2" customWidth="1"/>
    <col min="1532" max="1532" width="15.5703125" style="2" customWidth="1"/>
    <col min="1533" max="1544" width="13.28515625" style="2" customWidth="1"/>
    <col min="1545" max="1784" width="11.42578125" style="2"/>
    <col min="1785" max="1785" width="9.7109375" style="2" customWidth="1"/>
    <col min="1786" max="1786" width="6" style="2" customWidth="1"/>
    <col min="1787" max="1787" width="60.5703125" style="2" customWidth="1"/>
    <col min="1788" max="1788" width="15.5703125" style="2" customWidth="1"/>
    <col min="1789" max="1800" width="13.28515625" style="2" customWidth="1"/>
    <col min="1801" max="2040" width="11.42578125" style="2"/>
    <col min="2041" max="2041" width="9.7109375" style="2" customWidth="1"/>
    <col min="2042" max="2042" width="6" style="2" customWidth="1"/>
    <col min="2043" max="2043" width="60.5703125" style="2" customWidth="1"/>
    <col min="2044" max="2044" width="15.5703125" style="2" customWidth="1"/>
    <col min="2045" max="2056" width="13.28515625" style="2" customWidth="1"/>
    <col min="2057" max="2296" width="11.42578125" style="2"/>
    <col min="2297" max="2297" width="9.7109375" style="2" customWidth="1"/>
    <col min="2298" max="2298" width="6" style="2" customWidth="1"/>
    <col min="2299" max="2299" width="60.5703125" style="2" customWidth="1"/>
    <col min="2300" max="2300" width="15.5703125" style="2" customWidth="1"/>
    <col min="2301" max="2312" width="13.28515625" style="2" customWidth="1"/>
    <col min="2313" max="2552" width="11.42578125" style="2"/>
    <col min="2553" max="2553" width="9.7109375" style="2" customWidth="1"/>
    <col min="2554" max="2554" width="6" style="2" customWidth="1"/>
    <col min="2555" max="2555" width="60.5703125" style="2" customWidth="1"/>
    <col min="2556" max="2556" width="15.5703125" style="2" customWidth="1"/>
    <col min="2557" max="2568" width="13.28515625" style="2" customWidth="1"/>
    <col min="2569" max="2808" width="11.42578125" style="2"/>
    <col min="2809" max="2809" width="9.7109375" style="2" customWidth="1"/>
    <col min="2810" max="2810" width="6" style="2" customWidth="1"/>
    <col min="2811" max="2811" width="60.5703125" style="2" customWidth="1"/>
    <col min="2812" max="2812" width="15.5703125" style="2" customWidth="1"/>
    <col min="2813" max="2824" width="13.28515625" style="2" customWidth="1"/>
    <col min="2825" max="3064" width="11.42578125" style="2"/>
    <col min="3065" max="3065" width="9.7109375" style="2" customWidth="1"/>
    <col min="3066" max="3066" width="6" style="2" customWidth="1"/>
    <col min="3067" max="3067" width="60.5703125" style="2" customWidth="1"/>
    <col min="3068" max="3068" width="15.5703125" style="2" customWidth="1"/>
    <col min="3069" max="3080" width="13.28515625" style="2" customWidth="1"/>
    <col min="3081" max="3320" width="11.42578125" style="2"/>
    <col min="3321" max="3321" width="9.7109375" style="2" customWidth="1"/>
    <col min="3322" max="3322" width="6" style="2" customWidth="1"/>
    <col min="3323" max="3323" width="60.5703125" style="2" customWidth="1"/>
    <col min="3324" max="3324" width="15.5703125" style="2" customWidth="1"/>
    <col min="3325" max="3336" width="13.28515625" style="2" customWidth="1"/>
    <col min="3337" max="3576" width="11.42578125" style="2"/>
    <col min="3577" max="3577" width="9.7109375" style="2" customWidth="1"/>
    <col min="3578" max="3578" width="6" style="2" customWidth="1"/>
    <col min="3579" max="3579" width="60.5703125" style="2" customWidth="1"/>
    <col min="3580" max="3580" width="15.5703125" style="2" customWidth="1"/>
    <col min="3581" max="3592" width="13.28515625" style="2" customWidth="1"/>
    <col min="3593" max="3832" width="11.42578125" style="2"/>
    <col min="3833" max="3833" width="9.7109375" style="2" customWidth="1"/>
    <col min="3834" max="3834" width="6" style="2" customWidth="1"/>
    <col min="3835" max="3835" width="60.5703125" style="2" customWidth="1"/>
    <col min="3836" max="3836" width="15.5703125" style="2" customWidth="1"/>
    <col min="3837" max="3848" width="13.28515625" style="2" customWidth="1"/>
    <col min="3849" max="4088" width="11.42578125" style="2"/>
    <col min="4089" max="4089" width="9.7109375" style="2" customWidth="1"/>
    <col min="4090" max="4090" width="6" style="2" customWidth="1"/>
    <col min="4091" max="4091" width="60.5703125" style="2" customWidth="1"/>
    <col min="4092" max="4092" width="15.5703125" style="2" customWidth="1"/>
    <col min="4093" max="4104" width="13.28515625" style="2" customWidth="1"/>
    <col min="4105" max="4344" width="11.42578125" style="2"/>
    <col min="4345" max="4345" width="9.7109375" style="2" customWidth="1"/>
    <col min="4346" max="4346" width="6" style="2" customWidth="1"/>
    <col min="4347" max="4347" width="60.5703125" style="2" customWidth="1"/>
    <col min="4348" max="4348" width="15.5703125" style="2" customWidth="1"/>
    <col min="4349" max="4360" width="13.28515625" style="2" customWidth="1"/>
    <col min="4361" max="4600" width="11.42578125" style="2"/>
    <col min="4601" max="4601" width="9.7109375" style="2" customWidth="1"/>
    <col min="4602" max="4602" width="6" style="2" customWidth="1"/>
    <col min="4603" max="4603" width="60.5703125" style="2" customWidth="1"/>
    <col min="4604" max="4604" width="15.5703125" style="2" customWidth="1"/>
    <col min="4605" max="4616" width="13.28515625" style="2" customWidth="1"/>
    <col min="4617" max="4856" width="11.42578125" style="2"/>
    <col min="4857" max="4857" width="9.7109375" style="2" customWidth="1"/>
    <col min="4858" max="4858" width="6" style="2" customWidth="1"/>
    <col min="4859" max="4859" width="60.5703125" style="2" customWidth="1"/>
    <col min="4860" max="4860" width="15.5703125" style="2" customWidth="1"/>
    <col min="4861" max="4872" width="13.28515625" style="2" customWidth="1"/>
    <col min="4873" max="5112" width="11.42578125" style="2"/>
    <col min="5113" max="5113" width="9.7109375" style="2" customWidth="1"/>
    <col min="5114" max="5114" width="6" style="2" customWidth="1"/>
    <col min="5115" max="5115" width="60.5703125" style="2" customWidth="1"/>
    <col min="5116" max="5116" width="15.5703125" style="2" customWidth="1"/>
    <col min="5117" max="5128" width="13.28515625" style="2" customWidth="1"/>
    <col min="5129" max="5368" width="11.42578125" style="2"/>
    <col min="5369" max="5369" width="9.7109375" style="2" customWidth="1"/>
    <col min="5370" max="5370" width="6" style="2" customWidth="1"/>
    <col min="5371" max="5371" width="60.5703125" style="2" customWidth="1"/>
    <col min="5372" max="5372" width="15.5703125" style="2" customWidth="1"/>
    <col min="5373" max="5384" width="13.28515625" style="2" customWidth="1"/>
    <col min="5385" max="5624" width="11.42578125" style="2"/>
    <col min="5625" max="5625" width="9.7109375" style="2" customWidth="1"/>
    <col min="5626" max="5626" width="6" style="2" customWidth="1"/>
    <col min="5627" max="5627" width="60.5703125" style="2" customWidth="1"/>
    <col min="5628" max="5628" width="15.5703125" style="2" customWidth="1"/>
    <col min="5629" max="5640" width="13.28515625" style="2" customWidth="1"/>
    <col min="5641" max="5880" width="11.42578125" style="2"/>
    <col min="5881" max="5881" width="9.7109375" style="2" customWidth="1"/>
    <col min="5882" max="5882" width="6" style="2" customWidth="1"/>
    <col min="5883" max="5883" width="60.5703125" style="2" customWidth="1"/>
    <col min="5884" max="5884" width="15.5703125" style="2" customWidth="1"/>
    <col min="5885" max="5896" width="13.28515625" style="2" customWidth="1"/>
    <col min="5897" max="6136" width="11.42578125" style="2"/>
    <col min="6137" max="6137" width="9.7109375" style="2" customWidth="1"/>
    <col min="6138" max="6138" width="6" style="2" customWidth="1"/>
    <col min="6139" max="6139" width="60.5703125" style="2" customWidth="1"/>
    <col min="6140" max="6140" width="15.5703125" style="2" customWidth="1"/>
    <col min="6141" max="6152" width="13.28515625" style="2" customWidth="1"/>
    <col min="6153" max="6392" width="11.42578125" style="2"/>
    <col min="6393" max="6393" width="9.7109375" style="2" customWidth="1"/>
    <col min="6394" max="6394" width="6" style="2" customWidth="1"/>
    <col min="6395" max="6395" width="60.5703125" style="2" customWidth="1"/>
    <col min="6396" max="6396" width="15.5703125" style="2" customWidth="1"/>
    <col min="6397" max="6408" width="13.28515625" style="2" customWidth="1"/>
    <col min="6409" max="6648" width="11.42578125" style="2"/>
    <col min="6649" max="6649" width="9.7109375" style="2" customWidth="1"/>
    <col min="6650" max="6650" width="6" style="2" customWidth="1"/>
    <col min="6651" max="6651" width="60.5703125" style="2" customWidth="1"/>
    <col min="6652" max="6652" width="15.5703125" style="2" customWidth="1"/>
    <col min="6653" max="6664" width="13.28515625" style="2" customWidth="1"/>
    <col min="6665" max="6904" width="11.42578125" style="2"/>
    <col min="6905" max="6905" width="9.7109375" style="2" customWidth="1"/>
    <col min="6906" max="6906" width="6" style="2" customWidth="1"/>
    <col min="6907" max="6907" width="60.5703125" style="2" customWidth="1"/>
    <col min="6908" max="6908" width="15.5703125" style="2" customWidth="1"/>
    <col min="6909" max="6920" width="13.28515625" style="2" customWidth="1"/>
    <col min="6921" max="7160" width="11.42578125" style="2"/>
    <col min="7161" max="7161" width="9.7109375" style="2" customWidth="1"/>
    <col min="7162" max="7162" width="6" style="2" customWidth="1"/>
    <col min="7163" max="7163" width="60.5703125" style="2" customWidth="1"/>
    <col min="7164" max="7164" width="15.5703125" style="2" customWidth="1"/>
    <col min="7165" max="7176" width="13.28515625" style="2" customWidth="1"/>
    <col min="7177" max="7416" width="11.42578125" style="2"/>
    <col min="7417" max="7417" width="9.7109375" style="2" customWidth="1"/>
    <col min="7418" max="7418" width="6" style="2" customWidth="1"/>
    <col min="7419" max="7419" width="60.5703125" style="2" customWidth="1"/>
    <col min="7420" max="7420" width="15.5703125" style="2" customWidth="1"/>
    <col min="7421" max="7432" width="13.28515625" style="2" customWidth="1"/>
    <col min="7433" max="7672" width="11.42578125" style="2"/>
    <col min="7673" max="7673" width="9.7109375" style="2" customWidth="1"/>
    <col min="7674" max="7674" width="6" style="2" customWidth="1"/>
    <col min="7675" max="7675" width="60.5703125" style="2" customWidth="1"/>
    <col min="7676" max="7676" width="15.5703125" style="2" customWidth="1"/>
    <col min="7677" max="7688" width="13.28515625" style="2" customWidth="1"/>
    <col min="7689" max="7928" width="11.42578125" style="2"/>
    <col min="7929" max="7929" width="9.7109375" style="2" customWidth="1"/>
    <col min="7930" max="7930" width="6" style="2" customWidth="1"/>
    <col min="7931" max="7931" width="60.5703125" style="2" customWidth="1"/>
    <col min="7932" max="7932" width="15.5703125" style="2" customWidth="1"/>
    <col min="7933" max="7944" width="13.28515625" style="2" customWidth="1"/>
    <col min="7945" max="8184" width="11.42578125" style="2"/>
    <col min="8185" max="8185" width="9.7109375" style="2" customWidth="1"/>
    <col min="8186" max="8186" width="6" style="2" customWidth="1"/>
    <col min="8187" max="8187" width="60.5703125" style="2" customWidth="1"/>
    <col min="8188" max="8188" width="15.5703125" style="2" customWidth="1"/>
    <col min="8189" max="8200" width="13.28515625" style="2" customWidth="1"/>
    <col min="8201" max="8440" width="11.42578125" style="2"/>
    <col min="8441" max="8441" width="9.7109375" style="2" customWidth="1"/>
    <col min="8442" max="8442" width="6" style="2" customWidth="1"/>
    <col min="8443" max="8443" width="60.5703125" style="2" customWidth="1"/>
    <col min="8444" max="8444" width="15.5703125" style="2" customWidth="1"/>
    <col min="8445" max="8456" width="13.28515625" style="2" customWidth="1"/>
    <col min="8457" max="8696" width="11.42578125" style="2"/>
    <col min="8697" max="8697" width="9.7109375" style="2" customWidth="1"/>
    <col min="8698" max="8698" width="6" style="2" customWidth="1"/>
    <col min="8699" max="8699" width="60.5703125" style="2" customWidth="1"/>
    <col min="8700" max="8700" width="15.5703125" style="2" customWidth="1"/>
    <col min="8701" max="8712" width="13.28515625" style="2" customWidth="1"/>
    <col min="8713" max="8952" width="11.42578125" style="2"/>
    <col min="8953" max="8953" width="9.7109375" style="2" customWidth="1"/>
    <col min="8954" max="8954" width="6" style="2" customWidth="1"/>
    <col min="8955" max="8955" width="60.5703125" style="2" customWidth="1"/>
    <col min="8956" max="8956" width="15.5703125" style="2" customWidth="1"/>
    <col min="8957" max="8968" width="13.28515625" style="2" customWidth="1"/>
    <col min="8969" max="9208" width="11.42578125" style="2"/>
    <col min="9209" max="9209" width="9.7109375" style="2" customWidth="1"/>
    <col min="9210" max="9210" width="6" style="2" customWidth="1"/>
    <col min="9211" max="9211" width="60.5703125" style="2" customWidth="1"/>
    <col min="9212" max="9212" width="15.5703125" style="2" customWidth="1"/>
    <col min="9213" max="9224" width="13.28515625" style="2" customWidth="1"/>
    <col min="9225" max="9464" width="11.42578125" style="2"/>
    <col min="9465" max="9465" width="9.7109375" style="2" customWidth="1"/>
    <col min="9466" max="9466" width="6" style="2" customWidth="1"/>
    <col min="9467" max="9467" width="60.5703125" style="2" customWidth="1"/>
    <col min="9468" max="9468" width="15.5703125" style="2" customWidth="1"/>
    <col min="9469" max="9480" width="13.28515625" style="2" customWidth="1"/>
    <col min="9481" max="9720" width="11.42578125" style="2"/>
    <col min="9721" max="9721" width="9.7109375" style="2" customWidth="1"/>
    <col min="9722" max="9722" width="6" style="2" customWidth="1"/>
    <col min="9723" max="9723" width="60.5703125" style="2" customWidth="1"/>
    <col min="9724" max="9724" width="15.5703125" style="2" customWidth="1"/>
    <col min="9725" max="9736" width="13.28515625" style="2" customWidth="1"/>
    <col min="9737" max="9976" width="11.42578125" style="2"/>
    <col min="9977" max="9977" width="9.7109375" style="2" customWidth="1"/>
    <col min="9978" max="9978" width="6" style="2" customWidth="1"/>
    <col min="9979" max="9979" width="60.5703125" style="2" customWidth="1"/>
    <col min="9980" max="9980" width="15.5703125" style="2" customWidth="1"/>
    <col min="9981" max="9992" width="13.28515625" style="2" customWidth="1"/>
    <col min="9993" max="10232" width="11.42578125" style="2"/>
    <col min="10233" max="10233" width="9.7109375" style="2" customWidth="1"/>
    <col min="10234" max="10234" width="6" style="2" customWidth="1"/>
    <col min="10235" max="10235" width="60.5703125" style="2" customWidth="1"/>
    <col min="10236" max="10236" width="15.5703125" style="2" customWidth="1"/>
    <col min="10237" max="10248" width="13.28515625" style="2" customWidth="1"/>
    <col min="10249" max="10488" width="11.42578125" style="2"/>
    <col min="10489" max="10489" width="9.7109375" style="2" customWidth="1"/>
    <col min="10490" max="10490" width="6" style="2" customWidth="1"/>
    <col min="10491" max="10491" width="60.5703125" style="2" customWidth="1"/>
    <col min="10492" max="10492" width="15.5703125" style="2" customWidth="1"/>
    <col min="10493" max="10504" width="13.28515625" style="2" customWidth="1"/>
    <col min="10505" max="10744" width="11.42578125" style="2"/>
    <col min="10745" max="10745" width="9.7109375" style="2" customWidth="1"/>
    <col min="10746" max="10746" width="6" style="2" customWidth="1"/>
    <col min="10747" max="10747" width="60.5703125" style="2" customWidth="1"/>
    <col min="10748" max="10748" width="15.5703125" style="2" customWidth="1"/>
    <col min="10749" max="10760" width="13.28515625" style="2" customWidth="1"/>
    <col min="10761" max="11000" width="11.42578125" style="2"/>
    <col min="11001" max="11001" width="9.7109375" style="2" customWidth="1"/>
    <col min="11002" max="11002" width="6" style="2" customWidth="1"/>
    <col min="11003" max="11003" width="60.5703125" style="2" customWidth="1"/>
    <col min="11004" max="11004" width="15.5703125" style="2" customWidth="1"/>
    <col min="11005" max="11016" width="13.28515625" style="2" customWidth="1"/>
    <col min="11017" max="11256" width="11.42578125" style="2"/>
    <col min="11257" max="11257" width="9.7109375" style="2" customWidth="1"/>
    <col min="11258" max="11258" width="6" style="2" customWidth="1"/>
    <col min="11259" max="11259" width="60.5703125" style="2" customWidth="1"/>
    <col min="11260" max="11260" width="15.5703125" style="2" customWidth="1"/>
    <col min="11261" max="11272" width="13.28515625" style="2" customWidth="1"/>
    <col min="11273" max="11512" width="11.42578125" style="2"/>
    <col min="11513" max="11513" width="9.7109375" style="2" customWidth="1"/>
    <col min="11514" max="11514" width="6" style="2" customWidth="1"/>
    <col min="11515" max="11515" width="60.5703125" style="2" customWidth="1"/>
    <col min="11516" max="11516" width="15.5703125" style="2" customWidth="1"/>
    <col min="11517" max="11528" width="13.28515625" style="2" customWidth="1"/>
    <col min="11529" max="11768" width="11.42578125" style="2"/>
    <col min="11769" max="11769" width="9.7109375" style="2" customWidth="1"/>
    <col min="11770" max="11770" width="6" style="2" customWidth="1"/>
    <col min="11771" max="11771" width="60.5703125" style="2" customWidth="1"/>
    <col min="11772" max="11772" width="15.5703125" style="2" customWidth="1"/>
    <col min="11773" max="11784" width="13.28515625" style="2" customWidth="1"/>
    <col min="11785" max="12024" width="11.42578125" style="2"/>
    <col min="12025" max="12025" width="9.7109375" style="2" customWidth="1"/>
    <col min="12026" max="12026" width="6" style="2" customWidth="1"/>
    <col min="12027" max="12027" width="60.5703125" style="2" customWidth="1"/>
    <col min="12028" max="12028" width="15.5703125" style="2" customWidth="1"/>
    <col min="12029" max="12040" width="13.28515625" style="2" customWidth="1"/>
    <col min="12041" max="12280" width="11.42578125" style="2"/>
    <col min="12281" max="12281" width="9.7109375" style="2" customWidth="1"/>
    <col min="12282" max="12282" width="6" style="2" customWidth="1"/>
    <col min="12283" max="12283" width="60.5703125" style="2" customWidth="1"/>
    <col min="12284" max="12284" width="15.5703125" style="2" customWidth="1"/>
    <col min="12285" max="12296" width="13.28515625" style="2" customWidth="1"/>
    <col min="12297" max="12536" width="11.42578125" style="2"/>
    <col min="12537" max="12537" width="9.7109375" style="2" customWidth="1"/>
    <col min="12538" max="12538" width="6" style="2" customWidth="1"/>
    <col min="12539" max="12539" width="60.5703125" style="2" customWidth="1"/>
    <col min="12540" max="12540" width="15.5703125" style="2" customWidth="1"/>
    <col min="12541" max="12552" width="13.28515625" style="2" customWidth="1"/>
    <col min="12553" max="12792" width="11.42578125" style="2"/>
    <col min="12793" max="12793" width="9.7109375" style="2" customWidth="1"/>
    <col min="12794" max="12794" width="6" style="2" customWidth="1"/>
    <col min="12795" max="12795" width="60.5703125" style="2" customWidth="1"/>
    <col min="12796" max="12796" width="15.5703125" style="2" customWidth="1"/>
    <col min="12797" max="12808" width="13.28515625" style="2" customWidth="1"/>
    <col min="12809" max="13048" width="11.42578125" style="2"/>
    <col min="13049" max="13049" width="9.7109375" style="2" customWidth="1"/>
    <col min="13050" max="13050" width="6" style="2" customWidth="1"/>
    <col min="13051" max="13051" width="60.5703125" style="2" customWidth="1"/>
    <col min="13052" max="13052" width="15.5703125" style="2" customWidth="1"/>
    <col min="13053" max="13064" width="13.28515625" style="2" customWidth="1"/>
    <col min="13065" max="13304" width="11.42578125" style="2"/>
    <col min="13305" max="13305" width="9.7109375" style="2" customWidth="1"/>
    <col min="13306" max="13306" width="6" style="2" customWidth="1"/>
    <col min="13307" max="13307" width="60.5703125" style="2" customWidth="1"/>
    <col min="13308" max="13308" width="15.5703125" style="2" customWidth="1"/>
    <col min="13309" max="13320" width="13.28515625" style="2" customWidth="1"/>
    <col min="13321" max="13560" width="11.42578125" style="2"/>
    <col min="13561" max="13561" width="9.7109375" style="2" customWidth="1"/>
    <col min="13562" max="13562" width="6" style="2" customWidth="1"/>
    <col min="13563" max="13563" width="60.5703125" style="2" customWidth="1"/>
    <col min="13564" max="13564" width="15.5703125" style="2" customWidth="1"/>
    <col min="13565" max="13576" width="13.28515625" style="2" customWidth="1"/>
    <col min="13577" max="13816" width="11.42578125" style="2"/>
    <col min="13817" max="13817" width="9.7109375" style="2" customWidth="1"/>
    <col min="13818" max="13818" width="6" style="2" customWidth="1"/>
    <col min="13819" max="13819" width="60.5703125" style="2" customWidth="1"/>
    <col min="13820" max="13820" width="15.5703125" style="2" customWidth="1"/>
    <col min="13821" max="13832" width="13.28515625" style="2" customWidth="1"/>
    <col min="13833" max="14072" width="11.42578125" style="2"/>
    <col min="14073" max="14073" width="9.7109375" style="2" customWidth="1"/>
    <col min="14074" max="14074" width="6" style="2" customWidth="1"/>
    <col min="14075" max="14075" width="60.5703125" style="2" customWidth="1"/>
    <col min="14076" max="14076" width="15.5703125" style="2" customWidth="1"/>
    <col min="14077" max="14088" width="13.28515625" style="2" customWidth="1"/>
    <col min="14089" max="14328" width="11.42578125" style="2"/>
    <col min="14329" max="14329" width="9.7109375" style="2" customWidth="1"/>
    <col min="14330" max="14330" width="6" style="2" customWidth="1"/>
    <col min="14331" max="14331" width="60.5703125" style="2" customWidth="1"/>
    <col min="14332" max="14332" width="15.5703125" style="2" customWidth="1"/>
    <col min="14333" max="14344" width="13.28515625" style="2" customWidth="1"/>
    <col min="14345" max="14584" width="11.42578125" style="2"/>
    <col min="14585" max="14585" width="9.7109375" style="2" customWidth="1"/>
    <col min="14586" max="14586" width="6" style="2" customWidth="1"/>
    <col min="14587" max="14587" width="60.5703125" style="2" customWidth="1"/>
    <col min="14588" max="14588" width="15.5703125" style="2" customWidth="1"/>
    <col min="14589" max="14600" width="13.28515625" style="2" customWidth="1"/>
    <col min="14601" max="14840" width="11.42578125" style="2"/>
    <col min="14841" max="14841" width="9.7109375" style="2" customWidth="1"/>
    <col min="14842" max="14842" width="6" style="2" customWidth="1"/>
    <col min="14843" max="14843" width="60.5703125" style="2" customWidth="1"/>
    <col min="14844" max="14844" width="15.5703125" style="2" customWidth="1"/>
    <col min="14845" max="14856" width="13.28515625" style="2" customWidth="1"/>
    <col min="14857" max="15096" width="11.42578125" style="2"/>
    <col min="15097" max="15097" width="9.7109375" style="2" customWidth="1"/>
    <col min="15098" max="15098" width="6" style="2" customWidth="1"/>
    <col min="15099" max="15099" width="60.5703125" style="2" customWidth="1"/>
    <col min="15100" max="15100" width="15.5703125" style="2" customWidth="1"/>
    <col min="15101" max="15112" width="13.28515625" style="2" customWidth="1"/>
    <col min="15113" max="15352" width="11.42578125" style="2"/>
    <col min="15353" max="15353" width="9.7109375" style="2" customWidth="1"/>
    <col min="15354" max="15354" width="6" style="2" customWidth="1"/>
    <col min="15355" max="15355" width="60.5703125" style="2" customWidth="1"/>
    <col min="15356" max="15356" width="15.5703125" style="2" customWidth="1"/>
    <col min="15357" max="15368" width="13.28515625" style="2" customWidth="1"/>
    <col min="15369" max="15608" width="11.42578125" style="2"/>
    <col min="15609" max="15609" width="9.7109375" style="2" customWidth="1"/>
    <col min="15610" max="15610" width="6" style="2" customWidth="1"/>
    <col min="15611" max="15611" width="60.5703125" style="2" customWidth="1"/>
    <col min="15612" max="15612" width="15.5703125" style="2" customWidth="1"/>
    <col min="15613" max="15624" width="13.28515625" style="2" customWidth="1"/>
    <col min="15625" max="15864" width="11.42578125" style="2"/>
    <col min="15865" max="15865" width="9.7109375" style="2" customWidth="1"/>
    <col min="15866" max="15866" width="6" style="2" customWidth="1"/>
    <col min="15867" max="15867" width="60.5703125" style="2" customWidth="1"/>
    <col min="15868" max="15868" width="15.5703125" style="2" customWidth="1"/>
    <col min="15869" max="15880" width="13.28515625" style="2" customWidth="1"/>
    <col min="15881" max="16120" width="11.42578125" style="2"/>
    <col min="16121" max="16121" width="9.7109375" style="2" customWidth="1"/>
    <col min="16122" max="16122" width="6" style="2" customWidth="1"/>
    <col min="16123" max="16123" width="60.5703125" style="2" customWidth="1"/>
    <col min="16124" max="16124" width="15.5703125" style="2" customWidth="1"/>
    <col min="16125" max="16136" width="13.28515625" style="2" customWidth="1"/>
    <col min="16137" max="16384" width="11.42578125" style="2"/>
  </cols>
  <sheetData>
    <row r="1" spans="1:15" ht="27" customHeight="1" x14ac:dyDescent="0.2">
      <c r="C1" s="107"/>
      <c r="D1" s="108"/>
      <c r="E1" s="73"/>
      <c r="F1" s="73"/>
      <c r="G1" s="73"/>
      <c r="H1" s="73"/>
      <c r="I1" s="6" t="s">
        <v>204</v>
      </c>
      <c r="N1" s="7"/>
      <c r="O1" s="7"/>
    </row>
    <row r="2" spans="1:15" ht="27" customHeight="1" x14ac:dyDescent="0.2">
      <c r="A2" s="8"/>
      <c r="B2" s="8"/>
      <c r="C2" s="58"/>
      <c r="D2" s="108"/>
      <c r="E2" s="8"/>
      <c r="F2" s="8"/>
      <c r="G2" s="8"/>
      <c r="H2" s="8"/>
      <c r="I2" s="6" t="s">
        <v>20</v>
      </c>
      <c r="N2" s="7"/>
      <c r="O2" s="7"/>
    </row>
    <row r="3" spans="1:15" ht="3" customHeight="1" x14ac:dyDescent="0.2">
      <c r="A3" s="2"/>
      <c r="B3" s="2"/>
      <c r="C3" s="107"/>
      <c r="D3" s="108"/>
      <c r="E3" s="73"/>
      <c r="F3" s="73"/>
      <c r="G3" s="73"/>
      <c r="H3" s="73"/>
      <c r="I3" s="10"/>
      <c r="N3" s="7"/>
      <c r="O3" s="7"/>
    </row>
    <row r="4" spans="1:15" ht="15.75" customHeight="1" x14ac:dyDescent="0.2">
      <c r="A4" s="11"/>
      <c r="B4" s="11"/>
      <c r="C4" s="109"/>
      <c r="D4" s="110"/>
      <c r="E4" s="111"/>
      <c r="F4" s="111"/>
      <c r="G4" s="111"/>
      <c r="H4" s="111"/>
      <c r="I4" s="423" t="str">
        <f>CALIDAD!I4</f>
        <v>INSTITUTO TECNOLÓGICO SUPERIOR DE TAMAZULA DE GORDIANO</v>
      </c>
      <c r="N4" s="7"/>
      <c r="O4" s="7"/>
    </row>
    <row r="5" spans="1:15" ht="12.75" customHeight="1" x14ac:dyDescent="0.2">
      <c r="A5" s="11"/>
      <c r="B5" s="11"/>
      <c r="C5" s="109"/>
      <c r="D5" s="110"/>
      <c r="E5" s="111"/>
      <c r="F5" s="111"/>
      <c r="G5" s="111"/>
      <c r="H5" s="111"/>
      <c r="I5" s="9" t="s">
        <v>22</v>
      </c>
      <c r="N5" s="7"/>
      <c r="O5" s="7"/>
    </row>
    <row r="6" spans="1:15" ht="20.25" customHeight="1" x14ac:dyDescent="0.2">
      <c r="A6" s="11"/>
      <c r="B6" s="11"/>
      <c r="C6" s="494" t="s">
        <v>255</v>
      </c>
      <c r="D6" s="494"/>
      <c r="E6" s="494"/>
      <c r="F6" s="494"/>
      <c r="G6" s="494"/>
      <c r="H6" s="494"/>
      <c r="I6" s="423" t="str">
        <f>CALIDAD!I6</f>
        <v>SUBDIRECCION ADMINISTRATIVA</v>
      </c>
      <c r="N6" s="7"/>
      <c r="O6" s="7"/>
    </row>
    <row r="7" spans="1:15" ht="12.75" customHeight="1" x14ac:dyDescent="0.2">
      <c r="A7" s="11"/>
      <c r="B7" s="11"/>
      <c r="C7" s="494"/>
      <c r="D7" s="494"/>
      <c r="E7" s="494"/>
      <c r="F7" s="494"/>
      <c r="G7" s="494"/>
      <c r="H7" s="494"/>
      <c r="I7" s="357" t="str">
        <f>CALIDAD!I7</f>
        <v>PROCESO</v>
      </c>
      <c r="N7" s="7"/>
      <c r="O7" s="7"/>
    </row>
    <row r="8" spans="1:15" ht="17.25" customHeight="1" x14ac:dyDescent="0.2">
      <c r="A8" s="11"/>
      <c r="B8" s="11"/>
      <c r="C8" s="494"/>
      <c r="D8" s="494"/>
      <c r="E8" s="494"/>
      <c r="F8" s="494"/>
      <c r="G8" s="494"/>
      <c r="H8" s="494"/>
      <c r="I8" s="423" t="s">
        <v>141</v>
      </c>
      <c r="N8" s="7"/>
      <c r="O8" s="7"/>
    </row>
    <row r="9" spans="1:15" s="14" customFormat="1" ht="12.75" customHeight="1" x14ac:dyDescent="0.2">
      <c r="A9" s="11"/>
      <c r="B9" s="11"/>
      <c r="C9" s="109"/>
      <c r="D9" s="110"/>
      <c r="E9" s="111"/>
      <c r="F9" s="111"/>
      <c r="G9" s="111"/>
      <c r="H9" s="111"/>
      <c r="I9" s="357" t="str">
        <f>CALIDAD!I9</f>
        <v>AREA</v>
      </c>
      <c r="N9" s="7"/>
      <c r="O9" s="7"/>
    </row>
    <row r="10" spans="1:15" ht="12.75" customHeight="1" x14ac:dyDescent="0.2">
      <c r="A10" s="15"/>
      <c r="B10" s="15"/>
      <c r="C10" s="112"/>
      <c r="D10" s="113"/>
      <c r="E10" s="114"/>
      <c r="F10" s="114"/>
      <c r="G10" s="114"/>
      <c r="H10" s="114"/>
      <c r="I10" s="5"/>
      <c r="J10" s="7"/>
      <c r="K10" s="7"/>
      <c r="L10" s="7"/>
      <c r="M10" s="7"/>
      <c r="N10" s="7"/>
      <c r="O10" s="7"/>
    </row>
    <row r="11" spans="1:15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/>
      <c r="F11" s="482"/>
      <c r="G11" s="482"/>
      <c r="H11" s="482"/>
      <c r="I11" s="483" t="s">
        <v>27</v>
      </c>
    </row>
    <row r="12" spans="1:15" s="18" customFormat="1" ht="13.5" thickBot="1" x14ac:dyDescent="0.25">
      <c r="A12" s="479"/>
      <c r="B12" s="479"/>
      <c r="C12" s="479"/>
      <c r="D12" s="481"/>
      <c r="E12" s="188" t="s">
        <v>124</v>
      </c>
      <c r="F12" s="188" t="s">
        <v>125</v>
      </c>
      <c r="G12" s="188" t="s">
        <v>126</v>
      </c>
      <c r="H12" s="188" t="s">
        <v>127</v>
      </c>
      <c r="I12" s="484"/>
    </row>
    <row r="13" spans="1:15" s="21" customFormat="1" x14ac:dyDescent="0.2">
      <c r="A13" s="53">
        <v>1131</v>
      </c>
      <c r="B13" s="19"/>
      <c r="C13" s="52" t="s">
        <v>28</v>
      </c>
      <c r="D13" s="61">
        <f t="shared" ref="D13:D27" si="0">SUM(E13:H13)</f>
        <v>1876918.02</v>
      </c>
      <c r="E13" s="76">
        <f>850975.61+87483.4</f>
        <v>938459.01</v>
      </c>
      <c r="F13" s="84">
        <f>850975.61+87483.4</f>
        <v>938459.01</v>
      </c>
      <c r="G13" s="98"/>
      <c r="H13" s="92"/>
      <c r="I13" s="47"/>
      <c r="J13" s="472"/>
    </row>
    <row r="14" spans="1:15" s="21" customFormat="1" x14ac:dyDescent="0.2">
      <c r="A14" s="53">
        <v>1211</v>
      </c>
      <c r="B14" s="19"/>
      <c r="C14" s="52" t="s">
        <v>29</v>
      </c>
      <c r="D14" s="61">
        <f t="shared" si="0"/>
        <v>286528.26</v>
      </c>
      <c r="E14" s="76">
        <v>143264.13</v>
      </c>
      <c r="F14" s="84">
        <v>143264.13</v>
      </c>
      <c r="G14" s="98"/>
      <c r="H14" s="92"/>
      <c r="I14" s="74"/>
      <c r="J14" s="472"/>
    </row>
    <row r="15" spans="1:15" s="21" customFormat="1" ht="24" x14ac:dyDescent="0.2">
      <c r="A15" s="53">
        <v>1311</v>
      </c>
      <c r="B15" s="19"/>
      <c r="C15" s="52" t="s">
        <v>30</v>
      </c>
      <c r="D15" s="61">
        <f t="shared" si="0"/>
        <v>380278.14</v>
      </c>
      <c r="E15" s="76">
        <f>22279.58+167859.49</f>
        <v>190139.07</v>
      </c>
      <c r="F15" s="84">
        <f>22279.58+167859.49</f>
        <v>190139.07</v>
      </c>
      <c r="G15" s="98"/>
      <c r="H15" s="92"/>
      <c r="I15" s="47"/>
      <c r="J15" s="472"/>
    </row>
    <row r="16" spans="1:15" s="21" customFormat="1" x14ac:dyDescent="0.2">
      <c r="A16" s="53">
        <v>1321</v>
      </c>
      <c r="B16" s="19"/>
      <c r="C16" s="52" t="s">
        <v>31</v>
      </c>
      <c r="D16" s="61">
        <f t="shared" si="0"/>
        <v>113463.38</v>
      </c>
      <c r="E16" s="76">
        <v>56731.69</v>
      </c>
      <c r="F16" s="84">
        <v>56731.69</v>
      </c>
      <c r="G16" s="98"/>
      <c r="H16" s="92"/>
      <c r="I16" s="47"/>
      <c r="J16" s="472"/>
    </row>
    <row r="17" spans="1:12" s="21" customFormat="1" x14ac:dyDescent="0.2">
      <c r="A17" s="53">
        <v>1322</v>
      </c>
      <c r="B17" s="19"/>
      <c r="C17" s="52" t="s">
        <v>32</v>
      </c>
      <c r="D17" s="61">
        <f t="shared" si="0"/>
        <v>236382.12000000002</v>
      </c>
      <c r="E17" s="76">
        <f>94552.85+47276.42</f>
        <v>141829.27000000002</v>
      </c>
      <c r="F17" s="84">
        <v>94552.85</v>
      </c>
      <c r="G17" s="98"/>
      <c r="H17" s="92"/>
      <c r="I17" s="47"/>
      <c r="J17" s="472"/>
    </row>
    <row r="18" spans="1:12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76"/>
      <c r="F18" s="84"/>
      <c r="G18" s="98"/>
      <c r="H18" s="92"/>
      <c r="I18" s="47"/>
      <c r="J18" s="472"/>
    </row>
    <row r="19" spans="1:12" s="21" customFormat="1" ht="24" x14ac:dyDescent="0.2">
      <c r="A19" s="53">
        <v>1411</v>
      </c>
      <c r="B19" s="19"/>
      <c r="C19" s="52" t="s">
        <v>34</v>
      </c>
      <c r="D19" s="61">
        <f t="shared" si="0"/>
        <v>737400.65</v>
      </c>
      <c r="E19" s="76">
        <v>322592.28000000003</v>
      </c>
      <c r="F19" s="84">
        <v>322592.28000000003</v>
      </c>
      <c r="G19" s="98"/>
      <c r="H19" s="92">
        <v>92216.09</v>
      </c>
      <c r="I19" s="47"/>
      <c r="J19" s="472"/>
    </row>
    <row r="20" spans="1:12" s="21" customFormat="1" x14ac:dyDescent="0.2">
      <c r="A20" s="53">
        <v>1421</v>
      </c>
      <c r="B20" s="19"/>
      <c r="C20" s="52" t="s">
        <v>35</v>
      </c>
      <c r="D20" s="61">
        <f t="shared" si="0"/>
        <v>51058.54</v>
      </c>
      <c r="E20" s="76">
        <v>25529.27</v>
      </c>
      <c r="F20" s="84">
        <v>25529.27</v>
      </c>
      <c r="G20" s="98"/>
      <c r="H20" s="92"/>
      <c r="I20" s="47"/>
      <c r="J20" s="472"/>
    </row>
    <row r="21" spans="1:12" s="21" customFormat="1" x14ac:dyDescent="0.2">
      <c r="A21" s="53">
        <v>1431</v>
      </c>
      <c r="B21" s="19"/>
      <c r="C21" s="52" t="s">
        <v>36</v>
      </c>
      <c r="D21" s="61">
        <f t="shared" si="0"/>
        <v>178704.88</v>
      </c>
      <c r="E21" s="76">
        <v>89352.44</v>
      </c>
      <c r="F21" s="84">
        <v>89352.44</v>
      </c>
      <c r="G21" s="98"/>
      <c r="H21" s="92"/>
      <c r="I21" s="47"/>
      <c r="J21" s="472"/>
    </row>
    <row r="22" spans="1:12" s="21" customFormat="1" ht="24" x14ac:dyDescent="0.2">
      <c r="A22" s="53">
        <v>1432</v>
      </c>
      <c r="B22" s="19"/>
      <c r="C22" s="52" t="s">
        <v>37</v>
      </c>
      <c r="D22" s="61">
        <f t="shared" si="0"/>
        <v>34039.040000000001</v>
      </c>
      <c r="E22" s="76">
        <v>17019.52</v>
      </c>
      <c r="F22" s="84">
        <v>17019.52</v>
      </c>
      <c r="G22" s="98"/>
      <c r="H22" s="92"/>
      <c r="I22" s="47"/>
      <c r="J22" s="472"/>
    </row>
    <row r="23" spans="1:12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76"/>
      <c r="F23" s="84"/>
      <c r="G23" s="98"/>
      <c r="H23" s="92"/>
      <c r="I23" s="74"/>
      <c r="J23" s="472"/>
    </row>
    <row r="24" spans="1:12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76"/>
      <c r="F24" s="84"/>
      <c r="G24" s="98"/>
      <c r="H24" s="92"/>
      <c r="I24" s="47"/>
      <c r="J24" s="472"/>
    </row>
    <row r="25" spans="1:12" s="21" customFormat="1" x14ac:dyDescent="0.2">
      <c r="A25" s="53">
        <v>1715</v>
      </c>
      <c r="B25" s="19"/>
      <c r="C25" s="52" t="s">
        <v>39</v>
      </c>
      <c r="D25" s="61">
        <f t="shared" si="0"/>
        <v>70914.649999999994</v>
      </c>
      <c r="E25" s="76">
        <v>70914.649999999994</v>
      </c>
      <c r="F25" s="84"/>
      <c r="G25" s="98"/>
      <c r="H25" s="92"/>
      <c r="I25" s="47"/>
      <c r="J25" s="472"/>
    </row>
    <row r="26" spans="1:12" s="21" customFormat="1" x14ac:dyDescent="0.2">
      <c r="A26" s="53">
        <v>1719</v>
      </c>
      <c r="B26" s="19"/>
      <c r="C26" s="52" t="s">
        <v>40</v>
      </c>
      <c r="D26" s="61">
        <f t="shared" si="0"/>
        <v>751972.4</v>
      </c>
      <c r="E26" s="209">
        <f>10584+272966.52+92435.68</f>
        <v>375986.2</v>
      </c>
      <c r="F26" s="209">
        <f>10584+272966.52+92435.68</f>
        <v>375986.2</v>
      </c>
      <c r="G26" s="98"/>
      <c r="H26" s="92"/>
      <c r="I26" s="47"/>
      <c r="J26" s="472"/>
    </row>
    <row r="27" spans="1:12" s="21" customFormat="1" x14ac:dyDescent="0.2">
      <c r="A27" s="53">
        <v>1712</v>
      </c>
      <c r="B27" s="19"/>
      <c r="C27" s="52" t="s">
        <v>41</v>
      </c>
      <c r="D27" s="61">
        <f t="shared" si="0"/>
        <v>149040</v>
      </c>
      <c r="E27" s="76">
        <v>74520</v>
      </c>
      <c r="F27" s="84">
        <v>74520</v>
      </c>
      <c r="G27" s="98"/>
      <c r="H27" s="92"/>
      <c r="I27" s="47"/>
      <c r="J27" s="472"/>
    </row>
    <row r="28" spans="1:12" s="11" customFormat="1" ht="25.5" x14ac:dyDescent="0.2">
      <c r="A28" s="22"/>
      <c r="B28" s="22"/>
      <c r="C28" s="62" t="s">
        <v>16</v>
      </c>
      <c r="D28" s="65">
        <f t="shared" ref="D28:H28" si="1">SUM(D13:D27)</f>
        <v>4866700.08</v>
      </c>
      <c r="E28" s="65">
        <f t="shared" si="1"/>
        <v>2446337.5300000003</v>
      </c>
      <c r="F28" s="65">
        <f t="shared" si="1"/>
        <v>2328146.4600000004</v>
      </c>
      <c r="G28" s="65">
        <f t="shared" si="1"/>
        <v>0</v>
      </c>
      <c r="H28" s="65">
        <f t="shared" si="1"/>
        <v>92216.09</v>
      </c>
      <c r="I28" s="25"/>
      <c r="J28" s="26"/>
      <c r="L28" s="46"/>
    </row>
    <row r="29" spans="1:12" s="21" customFormat="1" ht="24" x14ac:dyDescent="0.2">
      <c r="A29" s="54">
        <v>2111</v>
      </c>
      <c r="B29" s="64"/>
      <c r="C29" s="49" t="s">
        <v>42</v>
      </c>
      <c r="D29" s="61">
        <f t="shared" ref="D29:D65" si="2">SUM(E29:H29)</f>
        <v>25000</v>
      </c>
      <c r="E29" s="77">
        <v>0</v>
      </c>
      <c r="F29" s="86">
        <f>'Presupuestacion federal'!D29-(ELECTROMECANICA!F29+ALIMENTARIAS!F29+'INOVACION AGRICOLA'!F29+'SERVICIOS ESCOLARES'!F29+'DESARROLLO ACADEMICO'!F29+VINCULACIÓN!F29+PLANEACION!F29+CALIDAD!F29)</f>
        <v>25000</v>
      </c>
      <c r="G29" s="98"/>
      <c r="H29" s="93"/>
      <c r="I29" s="30"/>
    </row>
    <row r="30" spans="1:12" s="21" customFormat="1" ht="24" x14ac:dyDescent="0.2">
      <c r="A30" s="54">
        <v>2121</v>
      </c>
      <c r="B30" s="64"/>
      <c r="C30" s="49" t="s">
        <v>123</v>
      </c>
      <c r="D30" s="61">
        <f t="shared" si="2"/>
        <v>9000</v>
      </c>
      <c r="E30" s="77">
        <f>('Presupuestacion estatal'!D30)-(ELECTROMECANICA!E30+ALIMENTARIAS!E30+'INOVACION AGRICOLA'!E30+'SERVICIOS ESCOLARES'!E30+'DESARROLLO ACADEMICO'!E30+VINCULACIÓN!E30+PLANEACION!E30+CALIDAD!E30)</f>
        <v>4500</v>
      </c>
      <c r="F30" s="86">
        <f>'Presupuestacion federal'!D30-(ELECTROMECANICA!F30+ALIMENTARIAS!F30+'INOVACION AGRICOLA'!F30+'SERVICIOS ESCOLARES'!F30+'DESARROLLO ACADEMICO'!F30+VINCULACIÓN!F30+PLANEACION!F30+CALIDAD!F30)</f>
        <v>4500</v>
      </c>
      <c r="G30" s="98"/>
      <c r="H30" s="102"/>
      <c r="I30" s="30"/>
    </row>
    <row r="31" spans="1:12" s="21" customFormat="1" ht="36" x14ac:dyDescent="0.2">
      <c r="A31" s="54">
        <v>2141</v>
      </c>
      <c r="B31" s="64"/>
      <c r="C31" s="49" t="s">
        <v>43</v>
      </c>
      <c r="D31" s="61">
        <f t="shared" si="2"/>
        <v>87000</v>
      </c>
      <c r="E31" s="77">
        <f>('Presupuestacion estatal'!D31)-(ELECTROMECANICA!E31+ALIMENTARIAS!E31+'INOVACION AGRICOLA'!E31+'SERVICIOS ESCOLARES'!E31+'DESARROLLO ACADEMICO'!E31+VINCULACIÓN!E31+PLANEACION!E31+CALIDAD!E31)</f>
        <v>42000</v>
      </c>
      <c r="F31" s="86">
        <f>'Presupuestacion federal'!D31-(ELECTROMECANICA!F31+ALIMENTARIAS!F31+'INOVACION AGRICOLA'!F31+'SERVICIOS ESCOLARES'!F31+'DESARROLLO ACADEMICO'!F31+VINCULACIÓN!F31+PLANEACION!F31+CALIDAD!F31)</f>
        <v>42000</v>
      </c>
      <c r="G31" s="98"/>
      <c r="H31" s="94">
        <v>3000</v>
      </c>
      <c r="I31" s="30"/>
    </row>
    <row r="32" spans="1:12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77">
        <f>('Presupuestacion estatal'!D32)-(ELECTROMECANICA!E32+ALIMENTARIAS!E32+'INOVACION AGRICOLA'!E32+'SERVICIOS ESCOLARES'!E32+'DESARROLLO ACADEMICO'!E32+VINCULACIÓN!E32+PLANEACION!E32+CALIDAD!E32)</f>
        <v>0</v>
      </c>
      <c r="F32" s="86">
        <f>'Presupuestacion federal'!D32-(ELECTROMECANICA!F32+ALIMENTARIAS!F32+'INOVACION AGRICOLA'!F32+'SERVICIOS ESCOLARES'!F32+'DESARROLLO ACADEMICO'!F32+VINCULACIÓN!F32+PLANEACION!F32+CALIDAD!F32)</f>
        <v>0</v>
      </c>
      <c r="G32" s="98"/>
      <c r="H32" s="103"/>
      <c r="I32" s="30"/>
    </row>
    <row r="33" spans="1:9" s="21" customFormat="1" ht="14.25" x14ac:dyDescent="0.2">
      <c r="A33" s="54">
        <v>2161</v>
      </c>
      <c r="B33" s="64"/>
      <c r="C33" s="49" t="s">
        <v>45</v>
      </c>
      <c r="D33" s="61">
        <f t="shared" si="2"/>
        <v>60000</v>
      </c>
      <c r="E33" s="77">
        <f>('Presupuestacion estatal'!D33)-(ELECTROMECANICA!E33+ALIMENTARIAS!E33+'INOVACION AGRICOLA'!E33+'SERVICIOS ESCOLARES'!E33+'DESARROLLO ACADEMICO'!E33+VINCULACIÓN!E33+PLANEACION!E33+CALIDAD!E33)</f>
        <v>30000</v>
      </c>
      <c r="F33" s="86">
        <f>'Presupuestacion federal'!D33-(ELECTROMECANICA!F33+ALIMENTARIAS!F33+'INOVACION AGRICOLA'!F33+'SERVICIOS ESCOLARES'!F33+'DESARROLLO ACADEMICO'!F33+VINCULACIÓN!F33+PLANEACION!F33+CALIDAD!F33)</f>
        <v>30000</v>
      </c>
      <c r="G33" s="98"/>
      <c r="H33" s="93"/>
      <c r="I33" s="30"/>
    </row>
    <row r="34" spans="1:9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77">
        <f>('Presupuestacion estatal'!D34)-(ELECTROMECANICA!E34+ALIMENTARIAS!E34+'INOVACION AGRICOLA'!E34+'SERVICIOS ESCOLARES'!E34+'DESARROLLO ACADEMICO'!E34+VINCULACIÓN!E34+PLANEACION!E34+CALIDAD!E34)</f>
        <v>0</v>
      </c>
      <c r="F34" s="86">
        <f>'Presupuestacion federal'!D34-(ELECTROMECANICA!F34+ALIMENTARIAS!F34+'INOVACION AGRICOLA'!F34+'SERVICIOS ESCOLARES'!F34+'DESARROLLO ACADEMICO'!F34+VINCULACIÓN!F34+PLANEACION!F34+CALIDAD!F34)</f>
        <v>0</v>
      </c>
      <c r="G34" s="98"/>
      <c r="H34" s="93"/>
      <c r="I34" s="30"/>
    </row>
    <row r="35" spans="1:9" s="21" customFormat="1" ht="24" x14ac:dyDescent="0.2">
      <c r="A35" s="54">
        <v>2211</v>
      </c>
      <c r="B35" s="64"/>
      <c r="C35" s="49" t="s">
        <v>47</v>
      </c>
      <c r="D35" s="61">
        <f t="shared" si="2"/>
        <v>0</v>
      </c>
      <c r="E35" s="77"/>
      <c r="F35" s="86"/>
      <c r="G35" s="98"/>
      <c r="H35" s="94"/>
      <c r="I35" s="30"/>
    </row>
    <row r="36" spans="1:9" s="21" customFormat="1" ht="14.25" x14ac:dyDescent="0.2">
      <c r="A36" s="54">
        <v>2221</v>
      </c>
      <c r="B36" s="64"/>
      <c r="C36" s="49" t="s">
        <v>48</v>
      </c>
      <c r="D36" s="61">
        <f t="shared" si="2"/>
        <v>6000</v>
      </c>
      <c r="E36" s="77">
        <f>('Presupuestacion estatal'!D36)-(ELECTROMECANICA!E36+ALIMENTARIAS!E36+'INOVACION AGRICOLA'!E36+'SERVICIOS ESCOLARES'!E36+'DESARROLLO ACADEMICO'!E36+VINCULACIÓN!E36+PLANEACION!E36+CALIDAD!E36)</f>
        <v>2000</v>
      </c>
      <c r="F36" s="86">
        <f>'Presupuestacion federal'!D36-(ELECTROMECANICA!F36+ALIMENTARIAS!F36+'INOVACION AGRICOLA'!F36+'SERVICIOS ESCOLARES'!F36+'DESARROLLO ACADEMICO'!F36+VINCULACIÓN!F36+PLANEACION!F36+CALIDAD!F36)</f>
        <v>2000</v>
      </c>
      <c r="G36" s="98"/>
      <c r="H36" s="93">
        <v>2000</v>
      </c>
      <c r="I36" s="30"/>
    </row>
    <row r="37" spans="1:9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77">
        <f>('Presupuestacion estatal'!D37)-(ELECTROMECANICA!E37+ALIMENTARIAS!E37+'INOVACION AGRICOLA'!E37+'SERVICIOS ESCOLARES'!E37+'DESARROLLO ACADEMICO'!E37+VINCULACIÓN!E37+PLANEACION!E37+CALIDAD!E37)</f>
        <v>0</v>
      </c>
      <c r="F37" s="86">
        <f>'Presupuestacion federal'!D37-(ELECTROMECANICA!F37+ALIMENTARIAS!F37+'INOVACION AGRICOLA'!F37+'SERVICIOS ESCOLARES'!F37+'DESARROLLO ACADEMICO'!F37+VINCULACIÓN!F37+PLANEACION!F37+CALIDAD!F37)</f>
        <v>0</v>
      </c>
      <c r="G37" s="98"/>
      <c r="H37" s="93"/>
      <c r="I37" s="30"/>
    </row>
    <row r="38" spans="1:9" s="21" customFormat="1" ht="14.25" x14ac:dyDescent="0.2">
      <c r="A38" s="54">
        <v>2411</v>
      </c>
      <c r="B38" s="64"/>
      <c r="C38" s="49" t="s">
        <v>50</v>
      </c>
      <c r="D38" s="61">
        <f t="shared" si="2"/>
        <v>9000</v>
      </c>
      <c r="E38" s="77">
        <f>('Presupuestacion estatal'!D38)-(ELECTROMECANICA!E38+ALIMENTARIAS!E38+'INOVACION AGRICOLA'!E38+'SERVICIOS ESCOLARES'!E38+'DESARROLLO ACADEMICO'!E38+VINCULACIÓN!E38+PLANEACION!E38+CALIDAD!E38)</f>
        <v>1000</v>
      </c>
      <c r="F38" s="86">
        <f>'Presupuestacion federal'!D38-(ELECTROMECANICA!F38+ALIMENTARIAS!F38+'INOVACION AGRICOLA'!F38+'SERVICIOS ESCOLARES'!F38+'DESARROLLO ACADEMICO'!F38+VINCULACIÓN!F38+PLANEACION!F38+CALIDAD!F38)</f>
        <v>8000</v>
      </c>
      <c r="G38" s="98"/>
      <c r="H38" s="93"/>
      <c r="I38" s="30"/>
    </row>
    <row r="39" spans="1:9" s="21" customFormat="1" ht="14.25" x14ac:dyDescent="0.2">
      <c r="A39" s="54">
        <v>2421</v>
      </c>
      <c r="B39" s="64"/>
      <c r="C39" s="49" t="s">
        <v>51</v>
      </c>
      <c r="D39" s="61">
        <f t="shared" si="2"/>
        <v>2000</v>
      </c>
      <c r="E39" s="77">
        <f>('Presupuestacion estatal'!D39)-(ELECTROMECANICA!E39+ALIMENTARIAS!E39+'INOVACION AGRICOLA'!E39+'SERVICIOS ESCOLARES'!E39+'DESARROLLO ACADEMICO'!E39+VINCULACIÓN!E39+PLANEACION!E39+CALIDAD!E39)</f>
        <v>1000</v>
      </c>
      <c r="F39" s="86">
        <f>'Presupuestacion federal'!D39-(ELECTROMECANICA!F39+ALIMENTARIAS!F39+'INOVACION AGRICOLA'!F39+'SERVICIOS ESCOLARES'!F39+'DESARROLLO ACADEMICO'!F39+VINCULACIÓN!F39+PLANEACION!F39+CALIDAD!F39)</f>
        <v>1000</v>
      </c>
      <c r="G39" s="98"/>
      <c r="H39" s="93"/>
      <c r="I39" s="30"/>
    </row>
    <row r="40" spans="1:9" s="21" customFormat="1" ht="14.25" x14ac:dyDescent="0.2">
      <c r="A40" s="54">
        <v>2431</v>
      </c>
      <c r="B40" s="64"/>
      <c r="C40" s="49" t="s">
        <v>52</v>
      </c>
      <c r="D40" s="61">
        <f t="shared" si="2"/>
        <v>7000</v>
      </c>
      <c r="E40" s="77">
        <f>('Presupuestacion estatal'!D40)-(ELECTROMECANICA!E40+ALIMENTARIAS!E40+'INOVACION AGRICOLA'!E40+'SERVICIOS ESCOLARES'!E40+'DESARROLLO ACADEMICO'!E40+VINCULACIÓN!E40+PLANEACION!E40+CALIDAD!E40)</f>
        <v>1000</v>
      </c>
      <c r="F40" s="86">
        <f>'Presupuestacion federal'!D40-(ELECTROMECANICA!F40+ALIMENTARIAS!F40+'INOVACION AGRICOLA'!F40+'SERVICIOS ESCOLARES'!F40+'DESARROLLO ACADEMICO'!F40+VINCULACIÓN!F40+PLANEACION!F40+CALIDAD!F40)</f>
        <v>6000</v>
      </c>
      <c r="G40" s="98"/>
      <c r="H40" s="93"/>
      <c r="I40" s="30"/>
    </row>
    <row r="41" spans="1:9" s="21" customFormat="1" ht="14.25" x14ac:dyDescent="0.2">
      <c r="A41" s="54">
        <v>2441</v>
      </c>
      <c r="B41" s="64"/>
      <c r="C41" s="49" t="s">
        <v>53</v>
      </c>
      <c r="D41" s="61">
        <f t="shared" si="2"/>
        <v>2000</v>
      </c>
      <c r="E41" s="77">
        <f>('Presupuestacion estatal'!D41)-(ELECTROMECANICA!E41+ALIMENTARIAS!E41+'INOVACION AGRICOLA'!E41+'SERVICIOS ESCOLARES'!E41+'DESARROLLO ACADEMICO'!E41+VINCULACIÓN!E41+PLANEACION!E41+CALIDAD!E41)</f>
        <v>1000</v>
      </c>
      <c r="F41" s="86">
        <f>'Presupuestacion federal'!D41-(ELECTROMECANICA!F41+ALIMENTARIAS!F41+'INOVACION AGRICOLA'!F41+'SERVICIOS ESCOLARES'!F41+'DESARROLLO ACADEMICO'!F41+VINCULACIÓN!F41+PLANEACION!F41+CALIDAD!F41)</f>
        <v>1000</v>
      </c>
      <c r="G41" s="98"/>
      <c r="H41" s="93"/>
      <c r="I41" s="30"/>
    </row>
    <row r="42" spans="1:9" s="21" customFormat="1" ht="14.25" x14ac:dyDescent="0.2">
      <c r="A42" s="54">
        <v>2451</v>
      </c>
      <c r="B42" s="64"/>
      <c r="C42" s="49" t="s">
        <v>54</v>
      </c>
      <c r="D42" s="61">
        <f t="shared" si="2"/>
        <v>6000</v>
      </c>
      <c r="E42" s="77">
        <f>('Presupuestacion estatal'!D42)-(ELECTROMECANICA!E42+ALIMENTARIAS!E42+'INOVACION AGRICOLA'!E42+'SERVICIOS ESCOLARES'!E42+'DESARROLLO ACADEMICO'!E42+VINCULACIÓN!E42+PLANEACION!E42+CALIDAD!E42)</f>
        <v>3000</v>
      </c>
      <c r="F42" s="86">
        <f>'Presupuestacion federal'!D42-(ELECTROMECANICA!F42+ALIMENTARIAS!F42+'INOVACION AGRICOLA'!F42+'SERVICIOS ESCOLARES'!F42+'DESARROLLO ACADEMICO'!F42+VINCULACIÓN!F42+PLANEACION!F42+CALIDAD!F42)</f>
        <v>3000</v>
      </c>
      <c r="G42" s="98"/>
      <c r="H42" s="93"/>
      <c r="I42" s="30"/>
    </row>
    <row r="43" spans="1:9" s="21" customFormat="1" ht="14.25" x14ac:dyDescent="0.2">
      <c r="A43" s="54">
        <v>2461</v>
      </c>
      <c r="B43" s="64"/>
      <c r="C43" s="49" t="s">
        <v>55</v>
      </c>
      <c r="D43" s="61">
        <f t="shared" si="2"/>
        <v>10000</v>
      </c>
      <c r="E43" s="77">
        <f>('Presupuestacion estatal'!D43)-(ELECTROMECANICA!E43+ALIMENTARIAS!E43+'INOVACION AGRICOLA'!E43+'SERVICIOS ESCOLARES'!E43+'DESARROLLO ACADEMICO'!E43+VINCULACIÓN!E43+PLANEACION!E43+CALIDAD!E43)</f>
        <v>5000</v>
      </c>
      <c r="F43" s="86">
        <f>'Presupuestacion federal'!D43-(ELECTROMECANICA!F43+ALIMENTARIAS!F43+'INOVACION AGRICOLA'!F43+'SERVICIOS ESCOLARES'!F43+'DESARROLLO ACADEMICO'!F43+VINCULACIÓN!F43+PLANEACION!F43+CALIDAD!F43)</f>
        <v>5000</v>
      </c>
      <c r="G43" s="98"/>
      <c r="H43" s="93"/>
      <c r="I43" s="30"/>
    </row>
    <row r="44" spans="1:9" s="21" customFormat="1" ht="14.25" x14ac:dyDescent="0.2">
      <c r="A44" s="55">
        <v>2471</v>
      </c>
      <c r="B44" s="31"/>
      <c r="C44" s="49" t="s">
        <v>56</v>
      </c>
      <c r="D44" s="61">
        <f t="shared" si="2"/>
        <v>7224.68</v>
      </c>
      <c r="E44" s="77">
        <f>('Presupuestacion estatal'!D44)-(ELECTROMECANICA!E44+ALIMENTARIAS!E44+'INOVACION AGRICOLA'!E44+'SERVICIOS ESCOLARES'!E44+'DESARROLLO ACADEMICO'!E44+VINCULACIÓN!E44+PLANEACION!E44+CALIDAD!E44)</f>
        <v>2224.6800000000003</v>
      </c>
      <c r="F44" s="86">
        <f>'Presupuestacion federal'!D44-(ELECTROMECANICA!F44+ALIMENTARIAS!F44+'INOVACION AGRICOLA'!F44+'SERVICIOS ESCOLARES'!F44+'DESARROLLO ACADEMICO'!F44+VINCULACIÓN!F44+PLANEACION!F44+CALIDAD!F44)</f>
        <v>0</v>
      </c>
      <c r="G44" s="98"/>
      <c r="H44" s="93">
        <v>5000</v>
      </c>
      <c r="I44" s="30"/>
    </row>
    <row r="45" spans="1:9" s="21" customFormat="1" ht="14.25" x14ac:dyDescent="0.2">
      <c r="A45" s="55">
        <v>2481</v>
      </c>
      <c r="B45" s="31"/>
      <c r="C45" s="49" t="s">
        <v>57</v>
      </c>
      <c r="D45" s="61">
        <f t="shared" si="2"/>
        <v>14000</v>
      </c>
      <c r="E45" s="77">
        <f>('Presupuestacion estatal'!D45)-(ELECTROMECANICA!E45+ALIMENTARIAS!E45+'INOVACION AGRICOLA'!E45+'SERVICIOS ESCOLARES'!E45+'DESARROLLO ACADEMICO'!E45+VINCULACIÓN!E45+PLANEACION!E45+CALIDAD!E45)</f>
        <v>2000</v>
      </c>
      <c r="F45" s="86">
        <f>'Presupuestacion federal'!D45-(ELECTROMECANICA!F45+ALIMENTARIAS!F45+'INOVACION AGRICOLA'!F45+'SERVICIOS ESCOLARES'!F45+'DESARROLLO ACADEMICO'!F45+VINCULACIÓN!F45+PLANEACION!F45+CALIDAD!F45)</f>
        <v>12000</v>
      </c>
      <c r="G45" s="98"/>
      <c r="H45" s="93"/>
      <c r="I45" s="30"/>
    </row>
    <row r="46" spans="1:9" s="21" customFormat="1" ht="24" x14ac:dyDescent="0.2">
      <c r="A46" s="54">
        <v>2491</v>
      </c>
      <c r="B46" s="64"/>
      <c r="C46" s="49" t="s">
        <v>58</v>
      </c>
      <c r="D46" s="61">
        <f t="shared" si="2"/>
        <v>13000</v>
      </c>
      <c r="E46" s="77">
        <f>('Presupuestacion estatal'!D46)-(ELECTROMECANICA!E46+ALIMENTARIAS!E46+'INOVACION AGRICOLA'!E46+'SERVICIOS ESCOLARES'!E46+'DESARROLLO ACADEMICO'!E46+VINCULACIÓN!E46+PLANEACION!E46+CALIDAD!E46)</f>
        <v>4000</v>
      </c>
      <c r="F46" s="86">
        <f>'Presupuestacion federal'!D46-(ELECTROMECANICA!F46+ALIMENTARIAS!F46+'INOVACION AGRICOLA'!F46+'SERVICIOS ESCOLARES'!F46+'DESARROLLO ACADEMICO'!F46+VINCULACIÓN!F46+PLANEACION!F46+CALIDAD!F46)</f>
        <v>9000</v>
      </c>
      <c r="G46" s="98"/>
      <c r="H46" s="94"/>
      <c r="I46" s="30"/>
    </row>
    <row r="47" spans="1:9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77">
        <f>('Presupuestacion estatal'!D47)-(ELECTROMECANICA!E47+ALIMENTARIAS!E47+'INOVACION AGRICOLA'!E47+'SERVICIOS ESCOLARES'!E47+'DESARROLLO ACADEMICO'!E47+VINCULACIÓN!E47+PLANEACION!E47+CALIDAD!E47)</f>
        <v>0</v>
      </c>
      <c r="F47" s="86">
        <f>'Presupuestacion federal'!D47-(ELECTROMECANICA!F47+ALIMENTARIAS!F47+'INOVACION AGRICOLA'!F47+'SERVICIOS ESCOLARES'!F47+'DESARROLLO ACADEMICO'!F47+VINCULACIÓN!F47+PLANEACION!F47+CALIDAD!F47)</f>
        <v>0</v>
      </c>
      <c r="G47" s="98"/>
      <c r="H47" s="93"/>
      <c r="I47" s="30"/>
    </row>
    <row r="48" spans="1:9" s="21" customFormat="1" ht="14.25" x14ac:dyDescent="0.2">
      <c r="A48" s="54">
        <v>2521</v>
      </c>
      <c r="B48" s="64"/>
      <c r="C48" s="49" t="s">
        <v>60</v>
      </c>
      <c r="D48" s="61">
        <f t="shared" si="2"/>
        <v>4400</v>
      </c>
      <c r="E48" s="77">
        <f>('Presupuestacion estatal'!D48)-(ELECTROMECANICA!E48+ALIMENTARIAS!E48+'INOVACION AGRICOLA'!E48+'SERVICIOS ESCOLARES'!E48+'DESARROLLO ACADEMICO'!E48+VINCULACIÓN!E48+PLANEACION!E48+CALIDAD!E48)</f>
        <v>2200</v>
      </c>
      <c r="F48" s="86">
        <f>'Presupuestacion federal'!D48-(ELECTROMECANICA!F48+ALIMENTARIAS!F48+'INOVACION AGRICOLA'!F48+'SERVICIOS ESCOLARES'!F48+'DESARROLLO ACADEMICO'!F48+VINCULACIÓN!F48+PLANEACION!F48+CALIDAD!F48)</f>
        <v>2200</v>
      </c>
      <c r="G48" s="98"/>
      <c r="H48" s="94"/>
      <c r="I48" s="30"/>
    </row>
    <row r="49" spans="1:9" s="21" customFormat="1" ht="14.25" x14ac:dyDescent="0.2">
      <c r="A49" s="54">
        <v>2531</v>
      </c>
      <c r="B49" s="64"/>
      <c r="C49" s="49" t="s">
        <v>61</v>
      </c>
      <c r="D49" s="61">
        <f t="shared" si="2"/>
        <v>2000</v>
      </c>
      <c r="E49" s="77">
        <f>('Presupuestacion estatal'!D49)-(ELECTROMECANICA!E49+ALIMENTARIAS!E49+'INOVACION AGRICOLA'!E49+'SERVICIOS ESCOLARES'!E49+'DESARROLLO ACADEMICO'!E49+VINCULACIÓN!E49+PLANEACION!E49+CALIDAD!E49)</f>
        <v>1000</v>
      </c>
      <c r="F49" s="86">
        <f>'Presupuestacion federal'!D49-(ELECTROMECANICA!F49+ALIMENTARIAS!F49+'INOVACION AGRICOLA'!F49+'SERVICIOS ESCOLARES'!F49+'DESARROLLO ACADEMICO'!F49+VINCULACIÓN!F49+PLANEACION!F49+CALIDAD!F49)</f>
        <v>1000</v>
      </c>
      <c r="G49" s="98"/>
      <c r="H49" s="93"/>
      <c r="I49" s="30"/>
    </row>
    <row r="50" spans="1:9" s="21" customFormat="1" ht="24" x14ac:dyDescent="0.2">
      <c r="A50" s="54">
        <v>2541</v>
      </c>
      <c r="B50" s="64"/>
      <c r="C50" s="49" t="s">
        <v>62</v>
      </c>
      <c r="D50" s="61">
        <f t="shared" si="2"/>
        <v>6000</v>
      </c>
      <c r="E50" s="77">
        <f>('Presupuestacion estatal'!D50)-(ELECTROMECANICA!E50+ALIMENTARIAS!E50+'INOVACION AGRICOLA'!E50+'SERVICIOS ESCOLARES'!E50+'DESARROLLO ACADEMICO'!E50+VINCULACIÓN!E50+PLANEACION!E50+CALIDAD!E50)</f>
        <v>3000</v>
      </c>
      <c r="F50" s="86">
        <f>'Presupuestacion federal'!D50-(ELECTROMECANICA!F50+ALIMENTARIAS!F50+'INOVACION AGRICOLA'!F50+'SERVICIOS ESCOLARES'!F50+'DESARROLLO ACADEMICO'!F50+VINCULACIÓN!F50+PLANEACION!F50+CALIDAD!F50)</f>
        <v>3000</v>
      </c>
      <c r="G50" s="98"/>
      <c r="H50" s="93"/>
      <c r="I50" s="30"/>
    </row>
    <row r="51" spans="1:9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77"/>
      <c r="F51" s="86"/>
      <c r="G51" s="98"/>
      <c r="H51" s="93"/>
      <c r="I51" s="30"/>
    </row>
    <row r="52" spans="1:9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77"/>
      <c r="F52" s="86"/>
      <c r="G52" s="98"/>
      <c r="H52" s="93"/>
      <c r="I52" s="30"/>
    </row>
    <row r="53" spans="1:9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77">
        <f>('Presupuestacion estatal'!D53)-(ELECTROMECANICA!E53+ALIMENTARIAS!E53+'INOVACION AGRICOLA'!E53+'SERVICIOS ESCOLARES'!E53+'DESARROLLO ACADEMICO'!E53+VINCULACIÓN!E53+PLANEACION!E53+CALIDAD!E53)</f>
        <v>0</v>
      </c>
      <c r="F53" s="86">
        <f>'Presupuestacion federal'!D53-(ELECTROMECANICA!F53+ALIMENTARIAS!F53+'INOVACION AGRICOLA'!F53+'SERVICIOS ESCOLARES'!F53+'DESARROLLO ACADEMICO'!F53+VINCULACIÓN!F53+PLANEACION!F53+CALIDAD!F53)</f>
        <v>0</v>
      </c>
      <c r="G53" s="98"/>
      <c r="H53" s="93"/>
      <c r="I53" s="30"/>
    </row>
    <row r="54" spans="1:9" s="21" customFormat="1" ht="14.25" x14ac:dyDescent="0.2">
      <c r="A54" s="54">
        <v>2611</v>
      </c>
      <c r="B54" s="64"/>
      <c r="C54" s="49" t="s">
        <v>66</v>
      </c>
      <c r="D54" s="61">
        <f t="shared" si="2"/>
        <v>202000</v>
      </c>
      <c r="E54" s="77">
        <f>('Presupuestacion estatal'!D54)-(ELECTROMECANICA!E54+ALIMENTARIAS!E54+'INOVACION AGRICOLA'!E54+'SERVICIOS ESCOLARES'!E54+'DESARROLLO ACADEMICO'!E54+VINCULACIÓN!E54+PLANEACION!E54+CALIDAD!E54)</f>
        <v>62000</v>
      </c>
      <c r="F54" s="86">
        <f>'Presupuestacion federal'!D54-(ELECTROMECANICA!F54+ALIMENTARIAS!F54+'INOVACION AGRICOLA'!F54+'SERVICIOS ESCOLARES'!F54+'DESARROLLO ACADEMICO'!F54+VINCULACIÓN!F54+PLANEACION!F54+CALIDAD!F54)</f>
        <v>62000</v>
      </c>
      <c r="G54" s="209">
        <f>38000+20000</f>
        <v>58000</v>
      </c>
      <c r="H54" s="94">
        <v>20000</v>
      </c>
      <c r="I54" s="30"/>
    </row>
    <row r="55" spans="1:9" s="21" customFormat="1" ht="14.25" x14ac:dyDescent="0.2">
      <c r="A55" s="54">
        <v>2612</v>
      </c>
      <c r="B55" s="64"/>
      <c r="C55" s="49" t="s">
        <v>67</v>
      </c>
      <c r="D55" s="61">
        <f t="shared" si="2"/>
        <v>9000</v>
      </c>
      <c r="E55" s="77">
        <f>('Presupuestacion estatal'!D55)-(ELECTROMECANICA!E55+ALIMENTARIAS!E55+'INOVACION AGRICOLA'!E55+'SERVICIOS ESCOLARES'!E55+'DESARROLLO ACADEMICO'!E55+VINCULACIÓN!E55+PLANEACION!E55+CALIDAD!E55)</f>
        <v>4500</v>
      </c>
      <c r="F55" s="86">
        <f>'Presupuestacion federal'!D55-(ELECTROMECANICA!F55+ALIMENTARIAS!F55+'INOVACION AGRICOLA'!F55+'SERVICIOS ESCOLARES'!F55+'DESARROLLO ACADEMICO'!F55+VINCULACIÓN!F55+PLANEACION!F55+CALIDAD!F55)</f>
        <v>4500</v>
      </c>
      <c r="G55" s="98"/>
      <c r="H55" s="93"/>
      <c r="I55" s="30"/>
    </row>
    <row r="56" spans="1:9" s="21" customFormat="1" ht="14.25" x14ac:dyDescent="0.2">
      <c r="A56" s="54">
        <v>2711</v>
      </c>
      <c r="B56" s="64"/>
      <c r="C56" s="49" t="s">
        <v>68</v>
      </c>
      <c r="D56" s="61">
        <f t="shared" si="2"/>
        <v>6000</v>
      </c>
      <c r="E56" s="77">
        <v>3000</v>
      </c>
      <c r="F56" s="86">
        <v>3000</v>
      </c>
      <c r="G56" s="98"/>
      <c r="H56" s="93">
        <v>0</v>
      </c>
      <c r="I56" s="30"/>
    </row>
    <row r="57" spans="1:9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77">
        <f>('Presupuestacion estatal'!D57)-(ELECTROMECANICA!E57+ALIMENTARIAS!E57+'INOVACION AGRICOLA'!E57+'SERVICIOS ESCOLARES'!E57+'DESARROLLO ACADEMICO'!E57+VINCULACIÓN!E57+PLANEACION!E57+CALIDAD!E57)</f>
        <v>0</v>
      </c>
      <c r="F57" s="86">
        <f>'Presupuestacion federal'!D57-(ELECTROMECANICA!F57+ALIMENTARIAS!F57+'INOVACION AGRICOLA'!F57+'SERVICIOS ESCOLARES'!F57+'DESARROLLO ACADEMICO'!F57+VINCULACIÓN!F57+PLANEACION!F57+CALIDAD!F57)</f>
        <v>0</v>
      </c>
      <c r="G57" s="98"/>
      <c r="H57" s="93"/>
      <c r="I57" s="30"/>
    </row>
    <row r="58" spans="1:9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77">
        <f>('Presupuestacion estatal'!D58)-(ELECTROMECANICA!E58+ALIMENTARIAS!E58+'INOVACION AGRICOLA'!E58+'SERVICIOS ESCOLARES'!E58+'DESARROLLO ACADEMICO'!E58+VINCULACIÓN!E58+PLANEACION!E58+CALIDAD!E58)</f>
        <v>0</v>
      </c>
      <c r="F58" s="86">
        <f>'Presupuestacion federal'!D58-(ELECTROMECANICA!F58+ALIMENTARIAS!F58+'INOVACION AGRICOLA'!F58+'SERVICIOS ESCOLARES'!F58+'DESARROLLO ACADEMICO'!F58+VINCULACIÓN!F58+PLANEACION!F58+CALIDAD!F58)</f>
        <v>0</v>
      </c>
      <c r="G58" s="98"/>
      <c r="H58" s="93"/>
      <c r="I58" s="30"/>
    </row>
    <row r="59" spans="1:9" s="21" customFormat="1" ht="14.25" x14ac:dyDescent="0.2">
      <c r="A59" s="54">
        <v>2911</v>
      </c>
      <c r="B59" s="64"/>
      <c r="C59" s="51" t="s">
        <v>71</v>
      </c>
      <c r="D59" s="61">
        <f t="shared" si="2"/>
        <v>6000</v>
      </c>
      <c r="E59" s="77">
        <f>('Presupuestacion estatal'!D59)-(ELECTROMECANICA!E59+ALIMENTARIAS!E59+'INOVACION AGRICOLA'!E59+'SERVICIOS ESCOLARES'!E59+'DESARROLLO ACADEMICO'!E59+VINCULACIÓN!E59+PLANEACION!E59+CALIDAD!E59)</f>
        <v>3000</v>
      </c>
      <c r="F59" s="86">
        <f>'Presupuestacion federal'!D59-(ELECTROMECANICA!F59+ALIMENTARIAS!F59+'INOVACION AGRICOLA'!F59+'SERVICIOS ESCOLARES'!F59+'DESARROLLO ACADEMICO'!F59+VINCULACIÓN!F59+PLANEACION!F59+CALIDAD!F59)</f>
        <v>3000</v>
      </c>
      <c r="G59" s="98"/>
      <c r="H59" s="93"/>
      <c r="I59" s="30"/>
    </row>
    <row r="60" spans="1:9" s="21" customFormat="1" ht="24" x14ac:dyDescent="0.2">
      <c r="A60" s="54">
        <v>2921</v>
      </c>
      <c r="B60" s="64"/>
      <c r="C60" s="51" t="s">
        <v>72</v>
      </c>
      <c r="D60" s="61">
        <f t="shared" si="2"/>
        <v>23000</v>
      </c>
      <c r="E60" s="77">
        <f>('Presupuestacion estatal'!D60)-(ELECTROMECANICA!E60+ALIMENTARIAS!E60+'INOVACION AGRICOLA'!E60+'SERVICIOS ESCOLARES'!E60+'DESARROLLO ACADEMICO'!E60+VINCULACIÓN!E60+PLANEACION!E60+CALIDAD!E60)</f>
        <v>4000</v>
      </c>
      <c r="F60" s="86">
        <f>'Presupuestacion federal'!D60-(ELECTROMECANICA!F60+ALIMENTARIAS!F60+'INOVACION AGRICOLA'!F60+'SERVICIOS ESCOLARES'!F60+'DESARROLLO ACADEMICO'!F60+VINCULACIÓN!F60+PLANEACION!F60+CALIDAD!F60)</f>
        <v>4000</v>
      </c>
      <c r="G60" s="98"/>
      <c r="H60" s="93">
        <v>15000</v>
      </c>
      <c r="I60" s="30"/>
    </row>
    <row r="61" spans="1:9" s="21" customFormat="1" ht="36" x14ac:dyDescent="0.2">
      <c r="A61" s="54">
        <v>2931</v>
      </c>
      <c r="B61" s="64"/>
      <c r="C61" s="51" t="s">
        <v>73</v>
      </c>
      <c r="D61" s="61">
        <f t="shared" si="2"/>
        <v>3000</v>
      </c>
      <c r="E61" s="77">
        <f>('Presupuestacion estatal'!D61)-(ELECTROMECANICA!E61+ALIMENTARIAS!E61+'INOVACION AGRICOLA'!E61+'SERVICIOS ESCOLARES'!E61+'DESARROLLO ACADEMICO'!E61+VINCULACIÓN!E61+PLANEACION!E61+CALIDAD!E61)</f>
        <v>1500</v>
      </c>
      <c r="F61" s="86">
        <f>'Presupuestacion federal'!D61-(ELECTROMECANICA!F61+ALIMENTARIAS!F61+'INOVACION AGRICOLA'!F61+'SERVICIOS ESCOLARES'!F61+'DESARROLLO ACADEMICO'!F61+VINCULACIÓN!F61+PLANEACION!F61+CALIDAD!F61)</f>
        <v>1500</v>
      </c>
      <c r="G61" s="98"/>
      <c r="H61" s="93"/>
      <c r="I61" s="30"/>
    </row>
    <row r="62" spans="1:9" s="21" customFormat="1" ht="36" x14ac:dyDescent="0.2">
      <c r="A62" s="54">
        <v>2941</v>
      </c>
      <c r="B62" s="64"/>
      <c r="C62" s="51" t="s">
        <v>74</v>
      </c>
      <c r="D62" s="61">
        <f t="shared" si="2"/>
        <v>4000</v>
      </c>
      <c r="E62" s="77">
        <f>('Presupuestacion estatal'!D62)-(ELECTROMECANICA!E62+ALIMENTARIAS!E62+'INOVACION AGRICOLA'!E62+'SERVICIOS ESCOLARES'!E62+'DESARROLLO ACADEMICO'!E62+VINCULACIÓN!E62+PLANEACION!E62+CALIDAD!E62)</f>
        <v>2000</v>
      </c>
      <c r="F62" s="86">
        <f>'Presupuestacion federal'!D62-(ELECTROMECANICA!F62+ALIMENTARIAS!F62+'INOVACION AGRICOLA'!F62+'SERVICIOS ESCOLARES'!F62+'DESARROLLO ACADEMICO'!F62+VINCULACIÓN!F62+PLANEACION!F62+CALIDAD!F62)</f>
        <v>2000</v>
      </c>
      <c r="G62" s="98"/>
      <c r="H62" s="93">
        <f>15000-15000</f>
        <v>0</v>
      </c>
      <c r="I62" s="30"/>
    </row>
    <row r="63" spans="1:9" s="21" customFormat="1" ht="24" x14ac:dyDescent="0.2">
      <c r="A63" s="54">
        <v>2951</v>
      </c>
      <c r="B63" s="64"/>
      <c r="C63" s="51" t="s">
        <v>75</v>
      </c>
      <c r="D63" s="61">
        <f t="shared" si="2"/>
        <v>0</v>
      </c>
      <c r="E63" s="77">
        <f>('Presupuestacion estatal'!D63)-(ELECTROMECANICA!E63+ALIMENTARIAS!E63+'INOVACION AGRICOLA'!E63+'SERVICIOS ESCOLARES'!E63+'DESARROLLO ACADEMICO'!E63+VINCULACIÓN!E63+PLANEACION!E63+CALIDAD!E63)</f>
        <v>0</v>
      </c>
      <c r="F63" s="86">
        <f>'Presupuestacion federal'!D63-(ELECTROMECANICA!F63+ALIMENTARIAS!F63+'INOVACION AGRICOLA'!F63+'SERVICIOS ESCOLARES'!F63+'DESARROLLO ACADEMICO'!F63+VINCULACIÓN!F63+PLANEACION!F63+CALIDAD!F63)</f>
        <v>0</v>
      </c>
      <c r="G63" s="98"/>
      <c r="H63" s="93"/>
      <c r="I63" s="30"/>
    </row>
    <row r="64" spans="1:9" s="21" customFormat="1" ht="24" x14ac:dyDescent="0.2">
      <c r="A64" s="54">
        <v>2961</v>
      </c>
      <c r="B64" s="64"/>
      <c r="C64" s="51" t="s">
        <v>76</v>
      </c>
      <c r="D64" s="61">
        <f t="shared" si="2"/>
        <v>50000</v>
      </c>
      <c r="E64" s="77">
        <f>('Presupuestacion estatal'!D64)-(ELECTROMECANICA!E64+ALIMENTARIAS!E64+'INOVACION AGRICOLA'!E64+'SERVICIOS ESCOLARES'!E64+'DESARROLLO ACADEMICO'!E64+VINCULACIÓN!E64+PLANEACION!E64+CALIDAD!E64)</f>
        <v>25000</v>
      </c>
      <c r="F64" s="86">
        <f>'Presupuestacion federal'!D64-(ELECTROMECANICA!F64+ALIMENTARIAS!F64+'INOVACION AGRICOLA'!F64+'SERVICIOS ESCOLARES'!F64+'DESARROLLO ACADEMICO'!F64+VINCULACIÓN!F64+PLANEACION!F64+CALIDAD!F64)</f>
        <v>25000</v>
      </c>
      <c r="G64" s="98"/>
      <c r="H64" s="94"/>
      <c r="I64" s="30"/>
    </row>
    <row r="65" spans="1:10" s="21" customFormat="1" ht="24" x14ac:dyDescent="0.2">
      <c r="A65" s="54">
        <v>2981</v>
      </c>
      <c r="B65" s="64"/>
      <c r="C65" s="51" t="s">
        <v>77</v>
      </c>
      <c r="D65" s="61">
        <f t="shared" si="2"/>
        <v>0</v>
      </c>
      <c r="E65" s="77">
        <f>('Presupuestacion estatal'!D65)-(ELECTROMECANICA!E65+ALIMENTARIAS!E65+'INOVACION AGRICOLA'!E65+'SERVICIOS ESCOLARES'!E65+'DESARROLLO ACADEMICO'!E65+VINCULACIÓN!E65+PLANEACION!E65+CALIDAD!E65)</f>
        <v>0</v>
      </c>
      <c r="F65" s="86">
        <f>'Presupuestacion federal'!D65-(ELECTROMECANICA!F65+ALIMENTARIAS!F65+'INOVACION AGRICOLA'!F65+'SERVICIOS ESCOLARES'!F65+'DESARROLLO ACADEMICO'!F65+VINCULACIÓN!F65+PLANEACION!F65+CALIDAD!F65)</f>
        <v>0</v>
      </c>
      <c r="G65" s="98"/>
      <c r="H65" s="93"/>
      <c r="I65" s="30"/>
    </row>
    <row r="66" spans="1:10" s="21" customFormat="1" ht="24" x14ac:dyDescent="0.2">
      <c r="A66" s="54">
        <v>2991</v>
      </c>
      <c r="B66" s="64"/>
      <c r="C66" s="51" t="s">
        <v>78</v>
      </c>
      <c r="D66" s="61">
        <f>SUM(E66:H66)</f>
        <v>6000</v>
      </c>
      <c r="E66" s="77">
        <f>('Presupuestacion estatal'!D66)-(ELECTROMECANICA!E66+ALIMENTARIAS!E66+'INOVACION AGRICOLA'!E66+'SERVICIOS ESCOLARES'!E66+'DESARROLLO ACADEMICO'!E66+VINCULACIÓN!E66+PLANEACION!E66+CALIDAD!E66)</f>
        <v>1500</v>
      </c>
      <c r="F66" s="86">
        <f>'Presupuestacion federal'!D66-(ELECTROMECANICA!F66+ALIMENTARIAS!F66+'INOVACION AGRICOLA'!F66+'SERVICIOS ESCOLARES'!F66+'DESARROLLO ACADEMICO'!F66+VINCULACIÓN!F66+PLANEACION!F66+CALIDAD!F66)</f>
        <v>4500</v>
      </c>
      <c r="G66" s="98"/>
      <c r="H66" s="93"/>
      <c r="I66" s="30"/>
    </row>
    <row r="67" spans="1:10" s="11" customFormat="1" ht="25.5" x14ac:dyDescent="0.2">
      <c r="A67" s="22"/>
      <c r="B67" s="22"/>
      <c r="C67" s="62" t="s">
        <v>17</v>
      </c>
      <c r="D67" s="66">
        <f>SUM(D29:D66)</f>
        <v>578624.67999999993</v>
      </c>
      <c r="E67" s="65">
        <f>SUM(E29:E66)</f>
        <v>211424.68</v>
      </c>
      <c r="F67" s="65">
        <f t="shared" ref="F67:H67" si="3">SUM(F29:F66)</f>
        <v>264200</v>
      </c>
      <c r="G67" s="65">
        <f t="shared" si="3"/>
        <v>58000</v>
      </c>
      <c r="H67" s="65">
        <f t="shared" si="3"/>
        <v>45000</v>
      </c>
      <c r="I67" s="25"/>
      <c r="J67" s="26">
        <f>SUM(E67:I67)</f>
        <v>578624.67999999993</v>
      </c>
    </row>
    <row r="68" spans="1:10" s="21" customFormat="1" ht="14.25" x14ac:dyDescent="0.2">
      <c r="A68" s="54">
        <v>3111</v>
      </c>
      <c r="B68" s="64"/>
      <c r="C68" s="49" t="s">
        <v>80</v>
      </c>
      <c r="D68" s="61">
        <f t="shared" ref="D68:D104" si="4">SUM(E68:H68)</f>
        <v>390000</v>
      </c>
      <c r="E68" s="77">
        <f>('Presupuestacion estatal'!D68)-(ELECTROMECANICA!E68+ALIMENTARIAS!E68+'INOVACION AGRICOLA'!E68+'SERVICIOS ESCOLARES'!E68+'DESARROLLO ACADEMICO'!E68+VINCULACIÓN!E68+PLANEACION!E68+CALIDAD!E68)</f>
        <v>143536.95000000001</v>
      </c>
      <c r="F68" s="86">
        <f>'Presupuestacion federal'!D68-(ELECTROMECANICA!F68+ALIMENTARIAS!F68+'INOVACION AGRICOLA'!F68+'SERVICIOS ESCOLARES'!F68+'DESARROLLO ACADEMICO'!F68+VINCULACIÓN!F68+PLANEACION!F68+CALIDAD!F68)</f>
        <v>180000</v>
      </c>
      <c r="G68" s="98"/>
      <c r="H68" s="94">
        <f>66463.05</f>
        <v>66463.05</v>
      </c>
      <c r="I68" s="30"/>
    </row>
    <row r="69" spans="1:10" s="21" customFormat="1" ht="14.25" x14ac:dyDescent="0.2">
      <c r="A69" s="54">
        <v>3121</v>
      </c>
      <c r="B69" s="64"/>
      <c r="C69" s="49" t="s">
        <v>81</v>
      </c>
      <c r="D69" s="61">
        <f t="shared" si="4"/>
        <v>0</v>
      </c>
      <c r="E69" s="77">
        <f>('Presupuestacion estatal'!D69)-(ELECTROMECANICA!E69+ALIMENTARIAS!E69+'INOVACION AGRICOLA'!E69+'SERVICIOS ESCOLARES'!E69+'DESARROLLO ACADEMICO'!E69+VINCULACIÓN!E69+PLANEACION!E69+CALIDAD!E69)</f>
        <v>0</v>
      </c>
      <c r="F69" s="86">
        <f>'Presupuestacion federal'!D69-(ELECTROMECANICA!F69+ALIMENTARIAS!F69+'INOVACION AGRICOLA'!F69+'SERVICIOS ESCOLARES'!F69+'DESARROLLO ACADEMICO'!F69+VINCULACIÓN!F69+PLANEACION!F69+CALIDAD!F69)</f>
        <v>0</v>
      </c>
      <c r="G69" s="98"/>
      <c r="H69" s="93"/>
      <c r="I69" s="30"/>
    </row>
    <row r="70" spans="1:10" s="21" customFormat="1" ht="14.25" x14ac:dyDescent="0.2">
      <c r="A70" s="54">
        <v>3141</v>
      </c>
      <c r="B70" s="64"/>
      <c r="C70" s="49" t="s">
        <v>82</v>
      </c>
      <c r="D70" s="61">
        <f t="shared" si="4"/>
        <v>0</v>
      </c>
      <c r="E70" s="77">
        <f>('Presupuestacion estatal'!D70)-(ELECTROMECANICA!E70+ALIMENTARIAS!E70+'INOVACION AGRICOLA'!E70+'SERVICIOS ESCOLARES'!E70+'DESARROLLO ACADEMICO'!E70+VINCULACIÓN!E70+PLANEACION!E70+CALIDAD!E70)</f>
        <v>0</v>
      </c>
      <c r="F70" s="86">
        <f>'Presupuestacion federal'!D70-(ELECTROMECANICA!F70+ALIMENTARIAS!F70+'INOVACION AGRICOLA'!F70+'SERVICIOS ESCOLARES'!F70+'DESARROLLO ACADEMICO'!F70+VINCULACIÓN!F70+PLANEACION!F70+CALIDAD!F70)</f>
        <v>0</v>
      </c>
      <c r="G70" s="98"/>
      <c r="H70" s="93"/>
      <c r="I70" s="30"/>
    </row>
    <row r="71" spans="1:10" s="21" customFormat="1" ht="14.25" x14ac:dyDescent="0.2">
      <c r="A71" s="54">
        <v>3151</v>
      </c>
      <c r="B71" s="64"/>
      <c r="C71" s="49" t="s">
        <v>83</v>
      </c>
      <c r="D71" s="61">
        <f t="shared" si="4"/>
        <v>36200</v>
      </c>
      <c r="E71" s="77">
        <f>('Presupuestacion estatal'!D71)-(ELECTROMECANICA!E71+ALIMENTARIAS!E71+'INOVACION AGRICOLA'!E71+'SERVICIOS ESCOLARES'!E71+'DESARROLLO ACADEMICO'!E71+VINCULACIÓN!E71+PLANEACION!E71+CALIDAD!E71)</f>
        <v>15600</v>
      </c>
      <c r="F71" s="86">
        <f>'Presupuestacion federal'!D71-(ELECTROMECANICA!F71+ALIMENTARIAS!F71+'INOVACION AGRICOLA'!F71+'SERVICIOS ESCOLARES'!F71+'DESARROLLO ACADEMICO'!F71+VINCULACIÓN!F71+PLANEACION!F71+CALIDAD!F71)</f>
        <v>15600</v>
      </c>
      <c r="G71" s="98"/>
      <c r="H71" s="94">
        <v>5000</v>
      </c>
      <c r="I71" s="30"/>
    </row>
    <row r="72" spans="1:10" s="21" customFormat="1" ht="24" x14ac:dyDescent="0.2">
      <c r="A72" s="54">
        <v>3171</v>
      </c>
      <c r="B72" s="64"/>
      <c r="C72" s="49" t="s">
        <v>84</v>
      </c>
      <c r="D72" s="61">
        <f t="shared" si="4"/>
        <v>0</v>
      </c>
      <c r="E72" s="77"/>
      <c r="F72" s="86">
        <f>'Presupuestacion federal'!D72-(ELECTROMECANICA!F72+ALIMENTARIAS!F72+'INOVACION AGRICOLA'!F72+'SERVICIOS ESCOLARES'!F72+'DESARROLLO ACADEMICO'!F72+VINCULACIÓN!F72+PLANEACION!F72+CALIDAD!F72)</f>
        <v>0</v>
      </c>
      <c r="G72" s="98"/>
      <c r="H72" s="94"/>
      <c r="I72" s="30"/>
    </row>
    <row r="73" spans="1:10" s="21" customFormat="1" ht="14.25" x14ac:dyDescent="0.2">
      <c r="A73" s="54">
        <v>3181</v>
      </c>
      <c r="B73" s="64"/>
      <c r="C73" s="49" t="s">
        <v>85</v>
      </c>
      <c r="D73" s="61">
        <f t="shared" si="4"/>
        <v>17500</v>
      </c>
      <c r="E73" s="77"/>
      <c r="F73" s="86">
        <f>'Presupuestacion federal'!D73-(ELECTROMECANICA!F73+ALIMENTARIAS!F73+'INOVACION AGRICOLA'!F73+'SERVICIOS ESCOLARES'!F73+'DESARROLLO ACADEMICO'!F73+VINCULACIÓN!F73+PLANEACION!F73+CALIDAD!F73)</f>
        <v>7500</v>
      </c>
      <c r="G73" s="98"/>
      <c r="H73" s="94">
        <v>10000</v>
      </c>
      <c r="I73" s="30"/>
    </row>
    <row r="74" spans="1:10" s="21" customFormat="1" ht="14.25" x14ac:dyDescent="0.2">
      <c r="A74" s="54">
        <v>3221</v>
      </c>
      <c r="B74" s="64"/>
      <c r="C74" s="49" t="s">
        <v>86</v>
      </c>
      <c r="D74" s="61">
        <f t="shared" si="4"/>
        <v>0</v>
      </c>
      <c r="E74" s="77">
        <f>('Presupuestacion estatal'!D74)-(ELECTROMECANICA!E74+ALIMENTARIAS!E74+'INOVACION AGRICOLA'!E74+'SERVICIOS ESCOLARES'!E74+'DESARROLLO ACADEMICO'!E74+VINCULACIÓN!E74+PLANEACION!E74+CALIDAD!E74)</f>
        <v>0</v>
      </c>
      <c r="F74" s="86">
        <f>'Presupuestacion federal'!D74-(ELECTROMECANICA!F74+ALIMENTARIAS!F74+'INOVACION AGRICOLA'!F74+'SERVICIOS ESCOLARES'!F74+'DESARROLLO ACADEMICO'!F74+VINCULACIÓN!F74+PLANEACION!F74+CALIDAD!F74)</f>
        <v>0</v>
      </c>
      <c r="G74" s="98"/>
      <c r="H74" s="94"/>
      <c r="I74" s="30"/>
    </row>
    <row r="75" spans="1:10" s="21" customFormat="1" ht="14.25" x14ac:dyDescent="0.2">
      <c r="A75" s="56">
        <v>3231</v>
      </c>
      <c r="B75" s="32"/>
      <c r="C75" s="50" t="s">
        <v>87</v>
      </c>
      <c r="D75" s="61">
        <f t="shared" si="4"/>
        <v>0</v>
      </c>
      <c r="E75" s="77">
        <f>('Presupuestacion estatal'!D75)-(ELECTROMECANICA!E75+ALIMENTARIAS!E75+'INOVACION AGRICOLA'!E75+'SERVICIOS ESCOLARES'!E75+'DESARROLLO ACADEMICO'!E75+VINCULACIÓN!E75+PLANEACION!E75+CALIDAD!E75)</f>
        <v>0</v>
      </c>
      <c r="F75" s="86">
        <f>'Presupuestacion federal'!D75-(ELECTROMECANICA!F75+ALIMENTARIAS!F75+'INOVACION AGRICOLA'!F75+'SERVICIOS ESCOLARES'!F75+'DESARROLLO ACADEMICO'!F75+VINCULACIÓN!F75+PLANEACION!F75+CALIDAD!F75)</f>
        <v>0</v>
      </c>
      <c r="G75" s="98"/>
      <c r="H75" s="93"/>
      <c r="I75" s="30"/>
    </row>
    <row r="76" spans="1:10" s="21" customFormat="1" ht="24" x14ac:dyDescent="0.2">
      <c r="A76" s="54">
        <v>3261</v>
      </c>
      <c r="B76" s="64"/>
      <c r="C76" s="49" t="s">
        <v>88</v>
      </c>
      <c r="D76" s="61">
        <f t="shared" si="4"/>
        <v>9500</v>
      </c>
      <c r="E76" s="77">
        <f>('Presupuestacion estatal'!D76)-(ELECTROMECANICA!E76+ALIMENTARIAS!E76+'INOVACION AGRICOLA'!E76+'SERVICIOS ESCOLARES'!E76+'DESARROLLO ACADEMICO'!E76+VINCULACIÓN!E76+PLANEACION!E76+CALIDAD!E76)</f>
        <v>0</v>
      </c>
      <c r="F76" s="86">
        <f>'Presupuestacion federal'!D76-(ELECTROMECANICA!F76+ALIMENTARIAS!F76+'INOVACION AGRICOLA'!F76+'SERVICIOS ESCOLARES'!F76+'DESARROLLO ACADEMICO'!F76+VINCULACIÓN!F76+PLANEACION!F76+CALIDAD!F76)</f>
        <v>9500</v>
      </c>
      <c r="G76" s="98"/>
      <c r="H76" s="94"/>
      <c r="I76" s="30"/>
    </row>
    <row r="77" spans="1:10" s="21" customFormat="1" ht="24" x14ac:dyDescent="0.2">
      <c r="A77" s="54">
        <v>3311</v>
      </c>
      <c r="B77" s="64"/>
      <c r="C77" s="49" t="s">
        <v>89</v>
      </c>
      <c r="D77" s="61">
        <f t="shared" si="4"/>
        <v>175000</v>
      </c>
      <c r="E77" s="77">
        <f>('Presupuestacion estatal'!D77)-(ELECTROMECANICA!E77+ALIMENTARIAS!E77+'INOVACION AGRICOLA'!E77+'SERVICIOS ESCOLARES'!E77+'DESARROLLO ACADEMICO'!E77+VINCULACIÓN!E77+PLANEACION!E77+CALIDAD!E77)</f>
        <v>0</v>
      </c>
      <c r="F77" s="86">
        <f>'Presupuestacion federal'!D77-(ELECTROMECANICA!F77+ALIMENTARIAS!F77+'INOVACION AGRICOLA'!F77+'SERVICIOS ESCOLARES'!F77+'DESARROLLO ACADEMICO'!F77+VINCULACIÓN!F77+PLANEACION!F77+CALIDAD!F77)</f>
        <v>60000</v>
      </c>
      <c r="G77" s="98"/>
      <c r="H77" s="94">
        <f>55000+60000</f>
        <v>115000</v>
      </c>
      <c r="I77" s="30"/>
    </row>
    <row r="78" spans="1:10" s="21" customFormat="1" ht="24" x14ac:dyDescent="0.2">
      <c r="A78" s="54">
        <v>3331</v>
      </c>
      <c r="B78" s="64"/>
      <c r="C78" s="49" t="s">
        <v>90</v>
      </c>
      <c r="D78" s="61">
        <f t="shared" si="4"/>
        <v>177980.03</v>
      </c>
      <c r="E78" s="77">
        <f>('Presupuestacion estatal'!D78)-(ELECTROMECANICA!E78+ALIMENTARIAS!E78+'INOVACION AGRICOLA'!E78+'SERVICIOS ESCOLARES'!E78+'DESARROLLO ACADEMICO'!E78+VINCULACIÓN!E78+PLANEACION!E78+CALIDAD!E78)</f>
        <v>0</v>
      </c>
      <c r="F78" s="86">
        <f>'Presupuestacion federal'!D78-(ELECTROMECANICA!F78+ALIMENTARIAS!F78+'INOVACION AGRICOLA'!F78+'SERVICIOS ESCOLARES'!F78+'DESARROLLO ACADEMICO'!F78+VINCULACIÓN!F78+PLANEACION!F78+CALIDAD!F78)</f>
        <v>62900.03</v>
      </c>
      <c r="G78" s="98"/>
      <c r="H78" s="94">
        <v>115080</v>
      </c>
      <c r="I78" s="30"/>
    </row>
    <row r="79" spans="1:10" s="21" customFormat="1" ht="14.25" x14ac:dyDescent="0.2">
      <c r="A79" s="54">
        <v>3341</v>
      </c>
      <c r="B79" s="64"/>
      <c r="C79" s="49" t="s">
        <v>91</v>
      </c>
      <c r="D79" s="61">
        <f t="shared" si="4"/>
        <v>30000</v>
      </c>
      <c r="E79" s="77">
        <f>('Presupuestacion estatal'!D79)-(ELECTROMECANICA!E79+ALIMENTARIAS!E79+'INOVACION AGRICOLA'!E79+'SERVICIOS ESCOLARES'!E79+'DESARROLLO ACADEMICO'!E79+VINCULACIÓN!E79+PLANEACION!E79+CALIDAD!E79)</f>
        <v>0</v>
      </c>
      <c r="F79" s="86">
        <f>'Presupuestacion federal'!D79-(ELECTROMECANICA!F79+ALIMENTARIAS!F79+'INOVACION AGRICOLA'!F79+'SERVICIOS ESCOLARES'!F79+'DESARROLLO ACADEMICO'!F79+VINCULACIÓN!F79+PLANEACION!F79+CALIDAD!F79)</f>
        <v>30000</v>
      </c>
      <c r="G79" s="98"/>
      <c r="H79" s="93"/>
      <c r="I79" s="30"/>
    </row>
    <row r="80" spans="1:10" s="21" customFormat="1" ht="14.25" x14ac:dyDescent="0.2">
      <c r="A80" s="54">
        <v>3342</v>
      </c>
      <c r="B80" s="64"/>
      <c r="C80" s="49" t="s">
        <v>92</v>
      </c>
      <c r="D80" s="61">
        <f t="shared" si="4"/>
        <v>0</v>
      </c>
      <c r="E80" s="77">
        <f>('Presupuestacion estatal'!D80)-(ELECTROMECANICA!E80+ALIMENTARIAS!E80+'INOVACION AGRICOLA'!E80+'SERVICIOS ESCOLARES'!E80+'DESARROLLO ACADEMICO'!E80+VINCULACIÓN!E80+PLANEACION!E80+CALIDAD!E80)</f>
        <v>0</v>
      </c>
      <c r="F80" s="86"/>
      <c r="G80" s="98"/>
      <c r="H80" s="93"/>
      <c r="I80" s="30"/>
    </row>
    <row r="81" spans="1:9" s="21" customFormat="1" ht="24" x14ac:dyDescent="0.2">
      <c r="A81" s="54">
        <v>3361</v>
      </c>
      <c r="B81" s="64"/>
      <c r="C81" s="49" t="s">
        <v>93</v>
      </c>
      <c r="D81" s="61">
        <f t="shared" si="4"/>
        <v>20000</v>
      </c>
      <c r="E81" s="77">
        <f>('Presupuestacion estatal'!D81)-(ELECTROMECANICA!E81+ALIMENTARIAS!E81+'INOVACION AGRICOLA'!E81+'SERVICIOS ESCOLARES'!E81+'DESARROLLO ACADEMICO'!E81+VINCULACIÓN!E81+PLANEACION!E81+CALIDAD!E81)</f>
        <v>0</v>
      </c>
      <c r="F81" s="86">
        <f>'Presupuestacion federal'!D81-(ELECTROMECANICA!F81+ALIMENTARIAS!F81+'INOVACION AGRICOLA'!F81+'SERVICIOS ESCOLARES'!F81+'DESARROLLO ACADEMICO'!F81+VINCULACIÓN!F81+PLANEACION!F81+CALIDAD!F81)</f>
        <v>15000</v>
      </c>
      <c r="G81" s="98"/>
      <c r="H81" s="93">
        <v>5000</v>
      </c>
      <c r="I81" s="30"/>
    </row>
    <row r="82" spans="1:9" s="21" customFormat="1" ht="14.25" x14ac:dyDescent="0.2">
      <c r="A82" s="54">
        <v>3362</v>
      </c>
      <c r="B82" s="64"/>
      <c r="C82" s="49" t="s">
        <v>94</v>
      </c>
      <c r="D82" s="61">
        <f t="shared" si="4"/>
        <v>20000</v>
      </c>
      <c r="E82" s="77">
        <f>('Presupuestacion estatal'!D82)-(ELECTROMECANICA!E82+ALIMENTARIAS!E82+'INOVACION AGRICOLA'!E82+'SERVICIOS ESCOLARES'!E82+'DESARROLLO ACADEMICO'!E82+VINCULACIÓN!E82+PLANEACION!E82+CALIDAD!E82)</f>
        <v>0</v>
      </c>
      <c r="F82" s="86">
        <f>'Presupuestacion federal'!D82-(ELECTROMECANICA!F82+ALIMENTARIAS!F82+'INOVACION AGRICOLA'!F82+'SERVICIOS ESCOLARES'!F82+'DESARROLLO ACADEMICO'!F82+VINCULACIÓN!F82+PLANEACION!F82+CALIDAD!F82)</f>
        <v>0</v>
      </c>
      <c r="G82" s="98"/>
      <c r="H82" s="93">
        <v>20000</v>
      </c>
      <c r="I82" s="30"/>
    </row>
    <row r="83" spans="1:9" s="21" customFormat="1" ht="14.25" x14ac:dyDescent="0.2">
      <c r="A83" s="54">
        <v>3381</v>
      </c>
      <c r="B83" s="64"/>
      <c r="C83" s="49" t="s">
        <v>95</v>
      </c>
      <c r="D83" s="61">
        <f t="shared" si="4"/>
        <v>0</v>
      </c>
      <c r="E83" s="77">
        <f>('Presupuestacion estatal'!D83)-(ELECTROMECANICA!E83+ALIMENTARIAS!E83+'INOVACION AGRICOLA'!E83+'SERVICIOS ESCOLARES'!E83+'DESARROLLO ACADEMICO'!E83+VINCULACIÓN!E83+PLANEACION!E83+CALIDAD!E83)</f>
        <v>0</v>
      </c>
      <c r="F83" s="86">
        <f>'Presupuestacion federal'!D83-(ELECTROMECANICA!F83+ALIMENTARIAS!F83+'INOVACION AGRICOLA'!F83+'SERVICIOS ESCOLARES'!F83+'DESARROLLO ACADEMICO'!F83+VINCULACIÓN!F83+PLANEACION!F83+CALIDAD!F83)</f>
        <v>0</v>
      </c>
      <c r="G83" s="98"/>
      <c r="H83" s="93"/>
      <c r="I83" s="30"/>
    </row>
    <row r="84" spans="1:9" s="21" customFormat="1" ht="24" x14ac:dyDescent="0.2">
      <c r="A84" s="54">
        <v>3391</v>
      </c>
      <c r="B84" s="64"/>
      <c r="C84" s="49" t="s">
        <v>96</v>
      </c>
      <c r="D84" s="61"/>
      <c r="E84" s="77">
        <v>0</v>
      </c>
      <c r="F84" s="86">
        <f>'Presupuestacion federal'!D84-(ELECTROMECANICA!F84+ALIMENTARIAS!F84+'INOVACION AGRICOLA'!F84+'SERVICIOS ESCOLARES'!F84+'DESARROLLO ACADEMICO'!F84+VINCULACIÓN!F84+PLANEACION!F84+CALIDAD!F84)</f>
        <v>0</v>
      </c>
      <c r="G84" s="98"/>
      <c r="H84" s="94"/>
      <c r="I84" s="30"/>
    </row>
    <row r="85" spans="1:9" s="21" customFormat="1" ht="14.25" x14ac:dyDescent="0.2">
      <c r="A85" s="54">
        <v>3411</v>
      </c>
      <c r="B85" s="64"/>
      <c r="C85" s="49" t="s">
        <v>97</v>
      </c>
      <c r="D85" s="61">
        <f t="shared" si="4"/>
        <v>14600</v>
      </c>
      <c r="E85" s="77">
        <f>('Presupuestacion estatal'!D85)-(ELECTROMECANICA!E85+ALIMENTARIAS!E85+'INOVACION AGRICOLA'!E85+'SERVICIOS ESCOLARES'!E85+'DESARROLLO ACADEMICO'!E85+VINCULACIÓN!E85+PLANEACION!E85+CALIDAD!E85)</f>
        <v>0</v>
      </c>
      <c r="F85" s="86">
        <f>'Presupuestacion federal'!D85-(ELECTROMECANICA!F85+ALIMENTARIAS!F85+'INOVACION AGRICOLA'!F85+'SERVICIOS ESCOLARES'!F85+'DESARROLLO ACADEMICO'!F85+VINCULACIÓN!F85+PLANEACION!F85+CALIDAD!F85)</f>
        <v>9600</v>
      </c>
      <c r="G85" s="98"/>
      <c r="H85" s="94">
        <f>10000-5000</f>
        <v>5000</v>
      </c>
      <c r="I85" s="30" t="s">
        <v>233</v>
      </c>
    </row>
    <row r="86" spans="1:9" s="21" customFormat="1" ht="14.25" x14ac:dyDescent="0.2">
      <c r="A86" s="54">
        <v>3451</v>
      </c>
      <c r="B86" s="64"/>
      <c r="C86" s="49" t="s">
        <v>98</v>
      </c>
      <c r="D86" s="61">
        <f t="shared" si="4"/>
        <v>351098.1</v>
      </c>
      <c r="E86" s="77">
        <f>('Presupuestacion estatal'!D86)-(ELECTROMECANICA!E86+ALIMENTARIAS!E86+'INOVACION AGRICOLA'!E86+'SERVICIOS ESCOLARES'!E86+'DESARROLLO ACADEMICO'!E86+VINCULACIÓN!E86+PLANEACION!E86+CALIDAD!E86)</f>
        <v>0</v>
      </c>
      <c r="F86" s="86">
        <f>'Presupuestacion federal'!D86-(ELECTROMECANICA!F86+ALIMENTARIAS!F86+'INOVACION AGRICOLA'!F86+'SERVICIOS ESCOLARES'!F86+'DESARROLLO ACADEMICO'!F86+VINCULACIÓN!F86+PLANEACION!F86+CALIDAD!F86)</f>
        <v>71602.539999999994</v>
      </c>
      <c r="G86" s="98"/>
      <c r="H86" s="93">
        <f>350000-71602.54+1098.1</f>
        <v>279495.56</v>
      </c>
      <c r="I86" s="30" t="s">
        <v>208</v>
      </c>
    </row>
    <row r="87" spans="1:9" s="21" customFormat="1" ht="14.25" x14ac:dyDescent="0.2">
      <c r="A87" s="54">
        <v>3471</v>
      </c>
      <c r="B87" s="64"/>
      <c r="C87" s="49" t="s">
        <v>99</v>
      </c>
      <c r="D87" s="61">
        <f t="shared" si="4"/>
        <v>3000</v>
      </c>
      <c r="E87" s="77">
        <f>('Presupuestacion estatal'!D87)-(ELECTROMECANICA!E87+ALIMENTARIAS!E87+'INOVACION AGRICOLA'!E87+'SERVICIOS ESCOLARES'!E87+'DESARROLLO ACADEMICO'!E87+VINCULACIÓN!E87+PLANEACION!E87+CALIDAD!E87)</f>
        <v>0</v>
      </c>
      <c r="F87" s="86">
        <f>'Presupuestacion federal'!D87-(ELECTROMECANICA!F87+ALIMENTARIAS!F87+'INOVACION AGRICOLA'!F87+'SERVICIOS ESCOLARES'!F87+'DESARROLLO ACADEMICO'!F87+VINCULACIÓN!F87+PLANEACION!F87+CALIDAD!F87)</f>
        <v>3000</v>
      </c>
      <c r="G87" s="98"/>
      <c r="H87" s="93"/>
      <c r="I87" s="30"/>
    </row>
    <row r="88" spans="1:9" s="21" customFormat="1" ht="24" x14ac:dyDescent="0.2">
      <c r="A88" s="54">
        <v>3511</v>
      </c>
      <c r="B88" s="64"/>
      <c r="C88" s="49" t="s">
        <v>100</v>
      </c>
      <c r="D88" s="61">
        <f t="shared" si="4"/>
        <v>120000</v>
      </c>
      <c r="E88" s="77">
        <f>('Presupuestacion estatal'!D88)-(ELECTROMECANICA!E88+ALIMENTARIAS!E88+'INOVACION AGRICOLA'!E88+'SERVICIOS ESCOLARES'!E88+'DESARROLLO ACADEMICO'!E88+VINCULACIÓN!E88+PLANEACION!E88+CALIDAD!E88)</f>
        <v>0</v>
      </c>
      <c r="F88" s="86">
        <f>'Presupuestacion federal'!D88-(ELECTROMECANICA!F88+ALIMENTARIAS!F88+'INOVACION AGRICOLA'!F88+'SERVICIOS ESCOLARES'!F88+'DESARROLLO ACADEMICO'!F88+VINCULACIÓN!F88+PLANEACION!F88+CALIDAD!F88)</f>
        <v>100000</v>
      </c>
      <c r="G88" s="98"/>
      <c r="H88" s="93">
        <v>20000</v>
      </c>
      <c r="I88" s="30"/>
    </row>
    <row r="89" spans="1:9" s="34" customFormat="1" ht="36" x14ac:dyDescent="0.2">
      <c r="A89" s="54">
        <v>3531</v>
      </c>
      <c r="B89" s="64"/>
      <c r="C89" s="49" t="s">
        <v>101</v>
      </c>
      <c r="D89" s="61">
        <f t="shared" si="4"/>
        <v>40000</v>
      </c>
      <c r="E89" s="77">
        <f>('Presupuestacion estatal'!D89)-(ELECTROMECANICA!E89+ALIMENTARIAS!E89+'INOVACION AGRICOLA'!E89+'SERVICIOS ESCOLARES'!E89+'DESARROLLO ACADEMICO'!E89+VINCULACIÓN!E89+PLANEACION!E89+CALIDAD!E89)</f>
        <v>0</v>
      </c>
      <c r="F89" s="86">
        <f>'Presupuestacion federal'!D89-(ELECTROMECANICA!F89+ALIMENTARIAS!F89+'INOVACION AGRICOLA'!F89+'SERVICIOS ESCOLARES'!F89+'DESARROLLO ACADEMICO'!F89+VINCULACIÓN!F89+PLANEACION!F89+CALIDAD!F89)</f>
        <v>40000</v>
      </c>
      <c r="G89" s="98"/>
      <c r="H89" s="94"/>
      <c r="I89" s="33"/>
    </row>
    <row r="90" spans="1:9" s="21" customFormat="1" ht="36" x14ac:dyDescent="0.2">
      <c r="A90" s="54">
        <v>3541</v>
      </c>
      <c r="B90" s="64"/>
      <c r="C90" s="49" t="s">
        <v>102</v>
      </c>
      <c r="D90" s="61">
        <f t="shared" si="4"/>
        <v>0</v>
      </c>
      <c r="E90" s="77">
        <f>('Presupuestacion estatal'!D90)-(ELECTROMECANICA!E90+ALIMENTARIAS!E90+'INOVACION AGRICOLA'!E90+'SERVICIOS ESCOLARES'!E90+'DESARROLLO ACADEMICO'!E90+VINCULACIÓN!E90+PLANEACION!E90+CALIDAD!E90)</f>
        <v>0</v>
      </c>
      <c r="F90" s="86"/>
      <c r="G90" s="98"/>
      <c r="H90" s="93"/>
      <c r="I90" s="30" t="s">
        <v>215</v>
      </c>
    </row>
    <row r="91" spans="1:9" s="21" customFormat="1" ht="24" x14ac:dyDescent="0.2">
      <c r="A91" s="157">
        <v>3551</v>
      </c>
      <c r="B91" s="64"/>
      <c r="C91" s="49" t="s">
        <v>103</v>
      </c>
      <c r="D91" s="61">
        <f t="shared" si="4"/>
        <v>91000</v>
      </c>
      <c r="E91" s="77">
        <f>('Presupuestacion estatal'!D91)-(ELECTROMECANICA!E91+ALIMENTARIAS!E91+'INOVACION AGRICOLA'!E91+'SERVICIOS ESCOLARES'!E91+'DESARROLLO ACADEMICO'!E91+VINCULACIÓN!E91+PLANEACION!E91+CALIDAD!E91)</f>
        <v>0</v>
      </c>
      <c r="F91" s="86">
        <f>'Presupuestacion federal'!D91-(ELECTROMECANICA!F91+ALIMENTARIAS!F91+'INOVACION AGRICOLA'!F91+'SERVICIOS ESCOLARES'!F91+'DESARROLLO ACADEMICO'!F91+VINCULACIÓN!F91+PLANEACION!F91+CALIDAD!F91)</f>
        <v>0</v>
      </c>
      <c r="G91" s="98">
        <f>71000+20000</f>
        <v>91000</v>
      </c>
      <c r="H91" s="93"/>
      <c r="I91" s="30"/>
    </row>
    <row r="92" spans="1:9" s="21" customFormat="1" ht="24" x14ac:dyDescent="0.2">
      <c r="A92" s="54">
        <v>3571</v>
      </c>
      <c r="B92" s="64"/>
      <c r="C92" s="49" t="s">
        <v>104</v>
      </c>
      <c r="D92" s="61">
        <f t="shared" si="4"/>
        <v>15000</v>
      </c>
      <c r="E92" s="77">
        <f>('Presupuestacion estatal'!D92)-(ELECTROMECANICA!E92+ALIMENTARIAS!E92+'INOVACION AGRICOLA'!E92+'SERVICIOS ESCOLARES'!E92+'DESARROLLO ACADEMICO'!E92+VINCULACIÓN!E92+PLANEACION!E92+CALIDAD!E92)</f>
        <v>0</v>
      </c>
      <c r="F92" s="86">
        <f>'Presupuestacion federal'!D92-(ELECTROMECANICA!F92+ALIMENTARIAS!F92+'INOVACION AGRICOLA'!F92+'SERVICIOS ESCOLARES'!F92+'DESARROLLO ACADEMICO'!F92+VINCULACIÓN!F92+PLANEACION!F92+CALIDAD!F92)</f>
        <v>0</v>
      </c>
      <c r="G92" s="98"/>
      <c r="H92" s="93">
        <v>15000</v>
      </c>
      <c r="I92" s="30"/>
    </row>
    <row r="93" spans="1:9" s="21" customFormat="1" ht="24" x14ac:dyDescent="0.2">
      <c r="A93" s="54">
        <v>3572</v>
      </c>
      <c r="B93" s="64"/>
      <c r="C93" s="49" t="s">
        <v>105</v>
      </c>
      <c r="D93" s="61">
        <f t="shared" si="4"/>
        <v>15000</v>
      </c>
      <c r="E93" s="77">
        <f>('Presupuestacion estatal'!D93)-(ELECTROMECANICA!E93+ALIMENTARIAS!E93+'INOVACION AGRICOLA'!E93+'SERVICIOS ESCOLARES'!E93+'DESARROLLO ACADEMICO'!E93+VINCULACIÓN!E93+PLANEACION!E93+CALIDAD!E93)</f>
        <v>0</v>
      </c>
      <c r="F93" s="86">
        <f>'Presupuestacion federal'!D93-(ELECTROMECANICA!F93+ALIMENTARIAS!F93+'INOVACION AGRICOLA'!F93+'SERVICIOS ESCOLARES'!F93+'DESARROLLO ACADEMICO'!F93+VINCULACIÓN!F93+PLANEACION!F93+CALIDAD!F93)</f>
        <v>0</v>
      </c>
      <c r="G93" s="98"/>
      <c r="H93" s="93">
        <v>15000</v>
      </c>
      <c r="I93" s="30"/>
    </row>
    <row r="94" spans="1:9" s="21" customFormat="1" ht="14.25" x14ac:dyDescent="0.2">
      <c r="A94" s="54">
        <v>3581</v>
      </c>
      <c r="B94" s="64"/>
      <c r="C94" s="49" t="s">
        <v>106</v>
      </c>
      <c r="D94" s="61">
        <f t="shared" si="4"/>
        <v>10000</v>
      </c>
      <c r="E94" s="77">
        <f>('Presupuestacion estatal'!D94)-(ELECTROMECANICA!E94+ALIMENTARIAS!E94+'INOVACION AGRICOLA'!E94+'SERVICIOS ESCOLARES'!E94+'DESARROLLO ACADEMICO'!E94+VINCULACIÓN!E94+PLANEACION!E94+CALIDAD!E94)</f>
        <v>0</v>
      </c>
      <c r="F94" s="86">
        <f>'Presupuestacion federal'!D94-(ELECTROMECANICA!F94+ALIMENTARIAS!F94+'INOVACION AGRICOLA'!F94+'SERVICIOS ESCOLARES'!F94+'DESARROLLO ACADEMICO'!F94+VINCULACIÓN!F94+PLANEACION!F94+CALIDAD!F94)</f>
        <v>0</v>
      </c>
      <c r="G94" s="98"/>
      <c r="H94" s="93">
        <v>10000</v>
      </c>
      <c r="I94" s="30"/>
    </row>
    <row r="95" spans="1:9" s="21" customFormat="1" ht="14.25" x14ac:dyDescent="0.2">
      <c r="A95" s="54">
        <v>3591</v>
      </c>
      <c r="B95" s="64"/>
      <c r="C95" s="49" t="s">
        <v>107</v>
      </c>
      <c r="D95" s="61">
        <f t="shared" si="4"/>
        <v>6000</v>
      </c>
      <c r="E95" s="77">
        <f>('Presupuestacion estatal'!D95)-(ELECTROMECANICA!E95+ALIMENTARIAS!E95+'INOVACION AGRICOLA'!E95+'SERVICIOS ESCOLARES'!E95+'DESARROLLO ACADEMICO'!E95+VINCULACIÓN!E95+PLANEACION!E95+CALIDAD!E95)</f>
        <v>0</v>
      </c>
      <c r="F95" s="86">
        <f>'Presupuestacion federal'!D95-(ELECTROMECANICA!F95+ALIMENTARIAS!F95+'INOVACION AGRICOLA'!F95+'SERVICIOS ESCOLARES'!F95+'DESARROLLO ACADEMICO'!F95+VINCULACIÓN!F95+PLANEACION!F95+CALIDAD!F95)</f>
        <v>0</v>
      </c>
      <c r="G95" s="98">
        <v>6000</v>
      </c>
      <c r="H95" s="93"/>
      <c r="I95" s="30"/>
    </row>
    <row r="96" spans="1:9" s="21" customFormat="1" ht="40.5" customHeight="1" x14ac:dyDescent="0.2">
      <c r="A96" s="54">
        <v>3621</v>
      </c>
      <c r="B96" s="64"/>
      <c r="C96" s="49" t="s">
        <v>108</v>
      </c>
      <c r="D96" s="61">
        <f t="shared" si="4"/>
        <v>0</v>
      </c>
      <c r="E96" s="77">
        <f>('Presupuestacion estatal'!D96)-(ELECTROMECANICA!E96+ALIMENTARIAS!E96+'INOVACION AGRICOLA'!E96+'SERVICIOS ESCOLARES'!E96+'DESARROLLO ACADEMICO'!E96+VINCULACIÓN!E96+PLANEACION!E96+CALIDAD!E96)</f>
        <v>0</v>
      </c>
      <c r="F96" s="86">
        <f>'Presupuestacion federal'!D96-(ELECTROMECANICA!F96+ALIMENTARIAS!F96+'INOVACION AGRICOLA'!F96+'SERVICIOS ESCOLARES'!F96+'DESARROLLO ACADEMICO'!F96+VINCULACIÓN!F96+PLANEACION!F96+CALIDAD!F96)</f>
        <v>0</v>
      </c>
      <c r="G96" s="98"/>
      <c r="H96" s="93"/>
      <c r="I96" s="30"/>
    </row>
    <row r="97" spans="1:10" s="21" customFormat="1" ht="18.75" customHeight="1" x14ac:dyDescent="0.2">
      <c r="A97" s="54">
        <v>3711</v>
      </c>
      <c r="B97" s="64"/>
      <c r="C97" s="49" t="s">
        <v>109</v>
      </c>
      <c r="D97" s="61">
        <f t="shared" si="4"/>
        <v>0</v>
      </c>
      <c r="E97" s="77">
        <f>('Presupuestacion estatal'!D97)-(ELECTROMECANICA!E97+ALIMENTARIAS!E97+'INOVACION AGRICOLA'!E97+'SERVICIOS ESCOLARES'!E97+'DESARROLLO ACADEMICO'!E97+VINCULACIÓN!E97+PLANEACION!E97+CALIDAD!E97)</f>
        <v>0</v>
      </c>
      <c r="F97" s="86">
        <f>'Presupuestacion federal'!D97-(ELECTROMECANICA!F97+ALIMENTARIAS!F97+'INOVACION AGRICOLA'!F97+'SERVICIOS ESCOLARES'!F97+'DESARROLLO ACADEMICO'!F97+VINCULACIÓN!F97+PLANEACION!F97+CALIDAD!F97)</f>
        <v>0</v>
      </c>
      <c r="G97" s="98">
        <v>0</v>
      </c>
      <c r="H97" s="94"/>
      <c r="I97" s="30"/>
    </row>
    <row r="98" spans="1:10" s="34" customFormat="1" ht="17.25" customHeight="1" x14ac:dyDescent="0.2">
      <c r="A98" s="54">
        <v>3721</v>
      </c>
      <c r="B98" s="64"/>
      <c r="C98" s="49" t="s">
        <v>110</v>
      </c>
      <c r="D98" s="61">
        <f t="shared" si="4"/>
        <v>20000</v>
      </c>
      <c r="E98" s="77">
        <f>('Presupuestacion estatal'!D98)-(ELECTROMECANICA!E98+ALIMENTARIAS!E98+'INOVACION AGRICOLA'!E98+'SERVICIOS ESCOLARES'!E98+'DESARROLLO ACADEMICO'!E98+VINCULACIÓN!E98+PLANEACION!E98+CALIDAD!E98)</f>
        <v>0</v>
      </c>
      <c r="F98" s="86">
        <f>'Presupuestacion federal'!D98-(ELECTROMECANICA!F98+ALIMENTARIAS!F98+'INOVACION AGRICOLA'!F98+'SERVICIOS ESCOLARES'!F98+'DESARROLLO ACADEMICO'!F98+VINCULACIÓN!F98+PLANEACION!F98+CALIDAD!F98)</f>
        <v>0</v>
      </c>
      <c r="G98" s="98">
        <f>8000+12000</f>
        <v>20000</v>
      </c>
      <c r="H98" s="94"/>
      <c r="I98" s="33"/>
    </row>
    <row r="99" spans="1:10" s="34" customFormat="1" ht="14.25" x14ac:dyDescent="0.2">
      <c r="A99" s="54">
        <v>3751</v>
      </c>
      <c r="B99" s="64"/>
      <c r="C99" s="49" t="s">
        <v>111</v>
      </c>
      <c r="D99" s="61">
        <f t="shared" si="4"/>
        <v>10000</v>
      </c>
      <c r="E99" s="77">
        <f>('Presupuestacion estatal'!D99)-(ELECTROMECANICA!E99+ALIMENTARIAS!E99+'INOVACION AGRICOLA'!E99+'SERVICIOS ESCOLARES'!E99+'DESARROLLO ACADEMICO'!E99+VINCULACIÓN!E99+PLANEACION!E99+CALIDAD!E99)</f>
        <v>0</v>
      </c>
      <c r="F99" s="86">
        <f>'Presupuestacion federal'!D99-(ELECTROMECANICA!F99+ALIMENTARIAS!F99+'INOVACION AGRICOLA'!F99+'SERVICIOS ESCOLARES'!F99+'DESARROLLO ACADEMICO'!F99+VINCULACIÓN!F99+PLANEACION!F99+CALIDAD!F99)</f>
        <v>0</v>
      </c>
      <c r="G99" s="98">
        <v>10000</v>
      </c>
      <c r="H99" s="94"/>
      <c r="I99" s="33"/>
    </row>
    <row r="100" spans="1:10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77">
        <f>('Presupuestacion estatal'!D100)-(ELECTROMECANICA!E100+ALIMENTARIAS!E100+'INOVACION AGRICOLA'!E100+'SERVICIOS ESCOLARES'!E100+'DESARROLLO ACADEMICO'!E100+VINCULACIÓN!E100+PLANEACION!E100+CALIDAD!E100)</f>
        <v>0</v>
      </c>
      <c r="F100" s="86">
        <f>'Presupuestacion federal'!D100-(ELECTROMECANICA!F100+ALIMENTARIAS!F100+'INOVACION AGRICOLA'!F100+'SERVICIOS ESCOLARES'!F100+'DESARROLLO ACADEMICO'!F100+VINCULACIÓN!F100+PLANEACION!F100+CALIDAD!F100)</f>
        <v>0</v>
      </c>
      <c r="G100" s="98"/>
      <c r="H100" s="94"/>
      <c r="I100" s="33"/>
    </row>
    <row r="101" spans="1:10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77">
        <f>('Presupuestacion estatal'!D101)-(ELECTROMECANICA!E101+ALIMENTARIAS!E101+'INOVACION AGRICOLA'!E101+'SERVICIOS ESCOLARES'!E101+'DESARROLLO ACADEMICO'!E101+VINCULACIÓN!E101+PLANEACION!E101+CALIDAD!E101)</f>
        <v>0</v>
      </c>
      <c r="F101" s="86">
        <f>'Presupuestacion federal'!D101-(ELECTROMECANICA!F101+ALIMENTARIAS!F101+'INOVACION AGRICOLA'!F101+'SERVICIOS ESCOLARES'!F101+'DESARROLLO ACADEMICO'!F101+VINCULACIÓN!F101+PLANEACION!F101+CALIDAD!F101)</f>
        <v>0</v>
      </c>
      <c r="G101" s="98"/>
      <c r="H101" s="94"/>
      <c r="I101" s="33"/>
    </row>
    <row r="102" spans="1:10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77">
        <f>('Presupuestacion estatal'!D102)-(ELECTROMECANICA!E102+ALIMENTARIAS!E102+'INOVACION AGRICOLA'!E102+'SERVICIOS ESCOLARES'!E102+'DESARROLLO ACADEMICO'!E102+VINCULACIÓN!E102+PLANEACION!E102+CALIDAD!E102)</f>
        <v>0</v>
      </c>
      <c r="F102" s="86">
        <f>'Presupuestacion federal'!D102-(ELECTROMECANICA!F102+ALIMENTARIAS!F102+'INOVACION AGRICOLA'!F102+'SERVICIOS ESCOLARES'!F102+'DESARROLLO ACADEMICO'!F102+VINCULACIÓN!F102+PLANEACION!F102+CALIDAD!F102)</f>
        <v>0</v>
      </c>
      <c r="G102" s="98"/>
      <c r="H102" s="94"/>
      <c r="I102" s="33"/>
    </row>
    <row r="103" spans="1:10" s="34" customFormat="1" ht="14.25" x14ac:dyDescent="0.2">
      <c r="A103" s="54">
        <v>3792</v>
      </c>
      <c r="B103" s="64"/>
      <c r="C103" s="49" t="s">
        <v>115</v>
      </c>
      <c r="D103" s="61">
        <f t="shared" si="4"/>
        <v>45000</v>
      </c>
      <c r="E103" s="77">
        <f>('Presupuestacion estatal'!D103)-(ELECTROMECANICA!E103+ALIMENTARIAS!E103+'INOVACION AGRICOLA'!E103+'SERVICIOS ESCOLARES'!E103+'DESARROLLO ACADEMICO'!E103+VINCULACIÓN!E103+PLANEACION!E103+CALIDAD!E103)</f>
        <v>0</v>
      </c>
      <c r="F103" s="86">
        <f>'Presupuestacion federal'!D103-(ELECTROMECANICA!F103+ALIMENTARIAS!F103+'INOVACION AGRICOLA'!F103+'SERVICIOS ESCOLARES'!F103+'DESARROLLO ACADEMICO'!F103+VINCULACIÓN!F103+PLANEACION!F103+CALIDAD!F103)</f>
        <v>0</v>
      </c>
      <c r="G103" s="98">
        <v>40000</v>
      </c>
      <c r="H103" s="94">
        <v>5000</v>
      </c>
      <c r="I103" s="33"/>
    </row>
    <row r="104" spans="1:10" s="34" customFormat="1" ht="14.25" x14ac:dyDescent="0.2">
      <c r="A104" s="54">
        <v>3921</v>
      </c>
      <c r="B104" s="64"/>
      <c r="C104" s="49" t="s">
        <v>116</v>
      </c>
      <c r="D104" s="61">
        <f t="shared" si="4"/>
        <v>5000</v>
      </c>
      <c r="E104" s="77">
        <f>('Presupuestacion estatal'!D104)-(ELECTROMECANICA!E104+ALIMENTARIAS!E104+'INOVACION AGRICOLA'!E104+'SERVICIOS ESCOLARES'!E104+'DESARROLLO ACADEMICO'!E104+VINCULACIÓN!E104+PLANEACION!E104+CALIDAD!E104)</f>
        <v>0</v>
      </c>
      <c r="F104" s="86">
        <f>'Presupuestacion federal'!D104-(ELECTROMECANICA!F104+ALIMENTARIAS!F104+'INOVACION AGRICOLA'!F104+'SERVICIOS ESCOLARES'!F104+'DESARROLLO ACADEMICO'!F104+VINCULACIÓN!F104+PLANEACION!F104+CALIDAD!F104)</f>
        <v>0</v>
      </c>
      <c r="G104" s="98"/>
      <c r="H104" s="95">
        <v>5000</v>
      </c>
      <c r="I104" s="33"/>
    </row>
    <row r="105" spans="1:10" s="11" customFormat="1" ht="25.5" x14ac:dyDescent="0.2">
      <c r="A105" s="22"/>
      <c r="B105" s="22"/>
      <c r="C105" s="62" t="s">
        <v>18</v>
      </c>
      <c r="D105" s="65">
        <f t="shared" ref="D105:H105" si="5">SUM(D68:D104)</f>
        <v>1621878.13</v>
      </c>
      <c r="E105" s="65">
        <f t="shared" si="5"/>
        <v>159136.95000000001</v>
      </c>
      <c r="F105" s="65">
        <f t="shared" si="5"/>
        <v>604702.57000000007</v>
      </c>
      <c r="G105" s="65">
        <f t="shared" si="5"/>
        <v>167000</v>
      </c>
      <c r="H105" s="65">
        <f t="shared" si="5"/>
        <v>691038.61</v>
      </c>
      <c r="I105" s="30"/>
      <c r="J105" s="26"/>
    </row>
    <row r="106" spans="1:10" x14ac:dyDescent="0.2">
      <c r="A106" s="68">
        <v>4419</v>
      </c>
      <c r="B106" s="68"/>
      <c r="C106" s="68" t="s">
        <v>122</v>
      </c>
      <c r="D106" s="36">
        <f>SUM(E106:H106)</f>
        <v>0</v>
      </c>
      <c r="E106" s="81"/>
      <c r="F106" s="90"/>
      <c r="G106" s="132"/>
      <c r="H106" s="129"/>
      <c r="I106" s="38"/>
    </row>
    <row r="107" spans="1:10" s="11" customFormat="1" ht="24.75" customHeight="1" x14ac:dyDescent="0.2">
      <c r="A107" s="473" t="s">
        <v>117</v>
      </c>
      <c r="B107" s="474"/>
      <c r="C107" s="475"/>
      <c r="D107" s="23">
        <f t="shared" ref="D107:H107" si="6">SUM(D106:D106)</f>
        <v>0</v>
      </c>
      <c r="E107" s="23">
        <f t="shared" si="6"/>
        <v>0</v>
      </c>
      <c r="F107" s="23">
        <f t="shared" si="6"/>
        <v>0</v>
      </c>
      <c r="G107" s="23">
        <f t="shared" si="6"/>
        <v>0</v>
      </c>
      <c r="H107" s="23">
        <f t="shared" si="6"/>
        <v>0</v>
      </c>
      <c r="I107" s="25"/>
    </row>
    <row r="108" spans="1:10" s="73" customFormat="1" ht="25.5" x14ac:dyDescent="0.2">
      <c r="A108" s="35">
        <v>5151</v>
      </c>
      <c r="B108" s="35"/>
      <c r="C108" s="40" t="s">
        <v>144</v>
      </c>
      <c r="D108" s="69">
        <f>SUM(E108:H108)</f>
        <v>0</v>
      </c>
      <c r="E108" s="82"/>
      <c r="F108" s="90"/>
      <c r="G108" s="101"/>
      <c r="H108" s="96"/>
      <c r="I108" s="72"/>
    </row>
    <row r="109" spans="1:10" s="73" customFormat="1" x14ac:dyDescent="0.2">
      <c r="A109" s="35">
        <v>5611</v>
      </c>
      <c r="B109" s="35"/>
      <c r="C109" s="60" t="s">
        <v>146</v>
      </c>
      <c r="D109" s="69">
        <f t="shared" ref="D109:D111" si="7">SUM(E109:H109)</f>
        <v>0</v>
      </c>
      <c r="E109" s="82"/>
      <c r="F109" s="90"/>
      <c r="G109" s="101"/>
      <c r="H109" s="96"/>
      <c r="I109" s="72"/>
    </row>
    <row r="110" spans="1:10" s="73" customFormat="1" x14ac:dyDescent="0.2">
      <c r="A110" s="35">
        <v>5621</v>
      </c>
      <c r="B110" s="35"/>
      <c r="C110" s="60" t="s">
        <v>149</v>
      </c>
      <c r="D110" s="69">
        <f t="shared" si="7"/>
        <v>0</v>
      </c>
      <c r="E110" s="82"/>
      <c r="F110" s="90"/>
      <c r="G110" s="101"/>
      <c r="H110" s="96"/>
      <c r="I110" s="72"/>
    </row>
    <row r="111" spans="1:10" s="73" customFormat="1" x14ac:dyDescent="0.2">
      <c r="A111" s="35">
        <v>5911</v>
      </c>
      <c r="B111" s="35"/>
      <c r="C111" s="60" t="s">
        <v>145</v>
      </c>
      <c r="D111" s="69">
        <f t="shared" si="7"/>
        <v>0</v>
      </c>
      <c r="E111" s="82"/>
      <c r="F111" s="90"/>
      <c r="G111" s="101"/>
      <c r="H111" s="96"/>
      <c r="I111" s="72"/>
    </row>
    <row r="112" spans="1:10" s="11" customFormat="1" ht="25.5" x14ac:dyDescent="0.2">
      <c r="A112" s="22"/>
      <c r="B112" s="22"/>
      <c r="C112" s="62" t="s">
        <v>118</v>
      </c>
      <c r="D112" s="23">
        <f>SUM(D108:D111)</f>
        <v>0</v>
      </c>
      <c r="E112" s="23">
        <f t="shared" ref="E112:G112" si="8">SUM(E108:E108)</f>
        <v>0</v>
      </c>
      <c r="F112" s="23">
        <f t="shared" si="8"/>
        <v>0</v>
      </c>
      <c r="G112" s="23">
        <f t="shared" si="8"/>
        <v>0</v>
      </c>
      <c r="H112" s="23">
        <f>SUM(H108:H111)</f>
        <v>0</v>
      </c>
      <c r="I112" s="25"/>
    </row>
    <row r="113" spans="1:10" x14ac:dyDescent="0.2">
      <c r="A113" s="35"/>
      <c r="B113" s="35"/>
      <c r="C113" s="40"/>
      <c r="D113" s="36">
        <f>SUM(E113:H113)</f>
        <v>0</v>
      </c>
      <c r="E113" s="130"/>
      <c r="F113" s="131"/>
      <c r="G113" s="132"/>
      <c r="H113" s="129"/>
      <c r="I113" s="38"/>
    </row>
    <row r="114" spans="1:10" x14ac:dyDescent="0.2">
      <c r="A114" s="35"/>
      <c r="B114" s="35"/>
      <c r="C114" s="60"/>
      <c r="D114" s="36">
        <f>SUM(E114:H114)</f>
        <v>0</v>
      </c>
      <c r="E114" s="130"/>
      <c r="F114" s="131"/>
      <c r="G114" s="132"/>
      <c r="H114" s="129"/>
      <c r="I114" s="38"/>
    </row>
    <row r="115" spans="1:10" x14ac:dyDescent="0.2">
      <c r="A115" s="35"/>
      <c r="B115" s="35"/>
      <c r="C115" s="60"/>
      <c r="D115" s="36">
        <f>SUM(E115:H115)</f>
        <v>0</v>
      </c>
      <c r="E115" s="130"/>
      <c r="F115" s="131"/>
      <c r="G115" s="132"/>
      <c r="H115" s="129"/>
      <c r="I115" s="38"/>
    </row>
    <row r="116" spans="1:10" x14ac:dyDescent="0.2">
      <c r="A116" s="35"/>
      <c r="B116" s="35"/>
      <c r="C116" s="60"/>
      <c r="D116" s="36">
        <f>SUM(E116:H116)</f>
        <v>0</v>
      </c>
      <c r="E116" s="130"/>
      <c r="F116" s="131"/>
      <c r="G116" s="132"/>
      <c r="H116" s="129"/>
      <c r="I116" s="38"/>
    </row>
    <row r="117" spans="1:10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23">
        <f t="shared" ref="E117:G117" si="9">SUM(E113:E116)</f>
        <v>0</v>
      </c>
      <c r="F117" s="23">
        <f t="shared" si="9"/>
        <v>0</v>
      </c>
      <c r="G117" s="23">
        <f t="shared" si="9"/>
        <v>0</v>
      </c>
      <c r="H117" s="23">
        <f>SUM(H113:H116)</f>
        <v>0</v>
      </c>
      <c r="I117" s="25"/>
      <c r="J117" s="26"/>
    </row>
    <row r="118" spans="1:10" x14ac:dyDescent="0.2">
      <c r="A118" s="35"/>
      <c r="B118" s="35"/>
      <c r="C118" s="60"/>
      <c r="D118" s="36">
        <f>SUM(E118:H118)</f>
        <v>0</v>
      </c>
      <c r="E118" s="81"/>
      <c r="F118" s="90"/>
      <c r="G118" s="101"/>
      <c r="H118" s="96"/>
      <c r="I118" s="38"/>
    </row>
    <row r="119" spans="1:10" x14ac:dyDescent="0.2">
      <c r="A119" s="35"/>
      <c r="B119" s="35"/>
      <c r="C119" s="60"/>
      <c r="D119" s="36">
        <f>SUM(E119:H119)</f>
        <v>0</v>
      </c>
      <c r="E119" s="81"/>
      <c r="F119" s="90"/>
      <c r="G119" s="101"/>
      <c r="H119" s="96"/>
      <c r="I119" s="38"/>
    </row>
    <row r="120" spans="1:10" s="11" customFormat="1" x14ac:dyDescent="0.2">
      <c r="A120" s="22"/>
      <c r="B120" s="22"/>
      <c r="C120" s="62" t="s">
        <v>120</v>
      </c>
      <c r="D120" s="23">
        <f t="shared" ref="D120:H120" si="10">SUM(D118:D119)</f>
        <v>0</v>
      </c>
      <c r="E120" s="23">
        <f t="shared" si="10"/>
        <v>0</v>
      </c>
      <c r="F120" s="23">
        <f t="shared" si="10"/>
        <v>0</v>
      </c>
      <c r="G120" s="23">
        <f t="shared" si="10"/>
        <v>0</v>
      </c>
      <c r="H120" s="23">
        <f t="shared" si="10"/>
        <v>0</v>
      </c>
      <c r="I120" s="25"/>
    </row>
    <row r="121" spans="1:10" s="11" customFormat="1" ht="17.25" customHeight="1" x14ac:dyDescent="0.2">
      <c r="A121" s="188"/>
      <c r="B121" s="188"/>
      <c r="C121" s="189" t="s">
        <v>19</v>
      </c>
      <c r="D121" s="190">
        <f t="shared" ref="D121:H121" si="11">SUM(D120,D117,D112,D107,D105,D67,D28)</f>
        <v>7067202.8899999997</v>
      </c>
      <c r="E121" s="190">
        <f t="shared" si="11"/>
        <v>2816899.16</v>
      </c>
      <c r="F121" s="190">
        <f t="shared" si="11"/>
        <v>3197049.0300000003</v>
      </c>
      <c r="G121" s="190">
        <f t="shared" si="11"/>
        <v>225000</v>
      </c>
      <c r="H121" s="190">
        <f t="shared" si="11"/>
        <v>828254.7</v>
      </c>
      <c r="I121" s="192"/>
      <c r="J121" s="26"/>
    </row>
    <row r="122" spans="1:10" x14ac:dyDescent="0.2">
      <c r="D122" s="108"/>
      <c r="E122" s="73"/>
      <c r="F122" s="73"/>
      <c r="G122" s="73"/>
      <c r="H122" s="73"/>
    </row>
    <row r="123" spans="1:10" x14ac:dyDescent="0.2">
      <c r="D123" s="108"/>
      <c r="E123" s="73"/>
      <c r="F123" s="73"/>
      <c r="G123" s="73"/>
      <c r="H123" s="73"/>
    </row>
    <row r="124" spans="1:10" x14ac:dyDescent="0.2">
      <c r="B124" s="43"/>
      <c r="C124" s="122" t="s">
        <v>142</v>
      </c>
      <c r="D124" s="123"/>
      <c r="E124" s="124" t="s">
        <v>131</v>
      </c>
      <c r="F124" s="124"/>
      <c r="G124" s="124"/>
      <c r="H124" s="124"/>
      <c r="I124" s="43" t="s">
        <v>133</v>
      </c>
    </row>
    <row r="125" spans="1:10" x14ac:dyDescent="0.2">
      <c r="B125" s="43"/>
      <c r="C125" s="122"/>
      <c r="D125" s="123"/>
      <c r="E125" s="124"/>
      <c r="F125" s="124"/>
      <c r="G125" s="124"/>
      <c r="H125" s="124"/>
    </row>
    <row r="126" spans="1:10" x14ac:dyDescent="0.2">
      <c r="B126" s="43"/>
      <c r="C126" s="122" t="s">
        <v>130</v>
      </c>
      <c r="D126" s="123"/>
      <c r="E126" s="124" t="s">
        <v>132</v>
      </c>
      <c r="F126" s="73"/>
      <c r="G126" s="124"/>
      <c r="H126" s="124"/>
      <c r="I126" s="43" t="s">
        <v>143</v>
      </c>
    </row>
    <row r="127" spans="1:10" x14ac:dyDescent="0.2">
      <c r="D127" s="108"/>
      <c r="E127" s="73"/>
      <c r="F127" s="73"/>
      <c r="G127" s="73"/>
      <c r="H127" s="73"/>
    </row>
    <row r="128" spans="1:10" x14ac:dyDescent="0.2">
      <c r="D128" s="108"/>
      <c r="E128" s="73"/>
      <c r="F128" s="73"/>
      <c r="G128" s="73"/>
      <c r="H128" s="73"/>
    </row>
    <row r="129" spans="4:8" x14ac:dyDescent="0.2">
      <c r="D129" s="108"/>
      <c r="E129" s="73"/>
      <c r="F129" s="73"/>
      <c r="G129" s="73"/>
      <c r="H129" s="73"/>
    </row>
    <row r="130" spans="4:8" x14ac:dyDescent="0.2">
      <c r="D130" s="108"/>
      <c r="E130" s="73"/>
      <c r="F130" s="73"/>
      <c r="G130" s="73"/>
      <c r="H130" s="73"/>
    </row>
    <row r="131" spans="4:8" x14ac:dyDescent="0.2">
      <c r="D131" s="108"/>
      <c r="E131" s="73"/>
      <c r="F131" s="73"/>
      <c r="G131" s="115"/>
      <c r="H131" s="73"/>
    </row>
    <row r="132" spans="4:8" x14ac:dyDescent="0.2">
      <c r="D132" s="108"/>
      <c r="E132" s="73"/>
      <c r="F132" s="73"/>
      <c r="G132" s="115"/>
      <c r="H132" s="73"/>
    </row>
    <row r="133" spans="4:8" x14ac:dyDescent="0.2">
      <c r="D133" s="108"/>
      <c r="E133" s="73"/>
      <c r="F133" s="73"/>
      <c r="G133" s="73"/>
      <c r="H133" s="73"/>
    </row>
    <row r="134" spans="4:8" x14ac:dyDescent="0.2">
      <c r="D134" s="108"/>
      <c r="E134" s="73"/>
      <c r="F134" s="73"/>
      <c r="G134" s="116"/>
      <c r="H134" s="73"/>
    </row>
    <row r="135" spans="4:8" x14ac:dyDescent="0.2">
      <c r="D135" s="108"/>
      <c r="E135" s="73"/>
      <c r="F135" s="73"/>
      <c r="G135" s="116"/>
      <c r="H135" s="116"/>
    </row>
    <row r="136" spans="4:8" x14ac:dyDescent="0.2">
      <c r="D136" s="108"/>
      <c r="E136" s="73"/>
      <c r="F136" s="73"/>
      <c r="G136" s="73"/>
      <c r="H136" s="73"/>
    </row>
    <row r="137" spans="4:8" x14ac:dyDescent="0.2">
      <c r="D137" s="108"/>
      <c r="E137" s="73"/>
      <c r="F137" s="73"/>
      <c r="G137" s="73"/>
      <c r="H137" s="73"/>
    </row>
    <row r="138" spans="4:8" x14ac:dyDescent="0.2">
      <c r="D138" s="108"/>
      <c r="E138" s="73"/>
      <c r="F138" s="73"/>
      <c r="G138" s="73"/>
      <c r="H138" s="73"/>
    </row>
    <row r="139" spans="4:8" x14ac:dyDescent="0.2">
      <c r="D139" s="108"/>
      <c r="E139" s="73"/>
      <c r="F139" s="116"/>
      <c r="G139" s="73"/>
      <c r="H139" s="73"/>
    </row>
    <row r="140" spans="4:8" x14ac:dyDescent="0.2">
      <c r="D140" s="108"/>
      <c r="E140" s="73"/>
      <c r="F140" s="73"/>
      <c r="G140" s="73"/>
      <c r="H140" s="73"/>
    </row>
    <row r="141" spans="4:8" x14ac:dyDescent="0.2">
      <c r="D141" s="108"/>
      <c r="E141" s="73"/>
      <c r="F141" s="73"/>
      <c r="G141" s="73"/>
      <c r="H141" s="73"/>
    </row>
    <row r="142" spans="4:8" x14ac:dyDescent="0.2">
      <c r="D142" s="108"/>
      <c r="E142" s="73"/>
      <c r="F142" s="73"/>
      <c r="G142" s="73"/>
      <c r="H142" s="73"/>
    </row>
    <row r="143" spans="4:8" x14ac:dyDescent="0.2">
      <c r="D143" s="108"/>
      <c r="E143" s="73"/>
      <c r="F143" s="73"/>
      <c r="G143" s="73"/>
      <c r="H143" s="73"/>
    </row>
    <row r="144" spans="4:8" x14ac:dyDescent="0.2">
      <c r="D144" s="108"/>
      <c r="E144" s="73"/>
      <c r="F144" s="73"/>
      <c r="G144" s="73"/>
      <c r="H144" s="73"/>
    </row>
    <row r="145" spans="4:8" x14ac:dyDescent="0.2">
      <c r="D145" s="108"/>
      <c r="E145" s="73"/>
      <c r="F145" s="73"/>
      <c r="G145" s="73"/>
      <c r="H145" s="73"/>
    </row>
    <row r="146" spans="4:8" x14ac:dyDescent="0.2">
      <c r="D146" s="108"/>
      <c r="E146" s="73"/>
      <c r="F146" s="73"/>
      <c r="G146" s="73"/>
      <c r="H146" s="73"/>
    </row>
    <row r="147" spans="4:8" x14ac:dyDescent="0.2">
      <c r="D147" s="108"/>
      <c r="E147" s="73"/>
      <c r="F147" s="73"/>
      <c r="G147" s="73"/>
      <c r="H147" s="73"/>
    </row>
    <row r="148" spans="4:8" x14ac:dyDescent="0.2">
      <c r="D148" s="108"/>
      <c r="E148" s="73"/>
      <c r="F148" s="73"/>
      <c r="G148" s="73"/>
      <c r="H148" s="73"/>
    </row>
    <row r="149" spans="4:8" x14ac:dyDescent="0.2">
      <c r="D149" s="108"/>
      <c r="E149" s="73"/>
      <c r="F149" s="73"/>
      <c r="G149" s="73"/>
      <c r="H149" s="73"/>
    </row>
    <row r="150" spans="4:8" x14ac:dyDescent="0.2">
      <c r="D150" s="108"/>
      <c r="E150" s="73"/>
      <c r="F150" s="73"/>
      <c r="G150" s="73"/>
      <c r="H150" s="73"/>
    </row>
    <row r="151" spans="4:8" x14ac:dyDescent="0.2">
      <c r="D151" s="108"/>
      <c r="E151" s="73"/>
      <c r="F151" s="73"/>
      <c r="G151" s="73"/>
      <c r="H151" s="73"/>
    </row>
    <row r="152" spans="4:8" x14ac:dyDescent="0.2">
      <c r="D152" s="108"/>
      <c r="E152" s="73"/>
      <c r="F152" s="73"/>
      <c r="G152" s="73"/>
      <c r="H152" s="73"/>
    </row>
    <row r="153" spans="4:8" x14ac:dyDescent="0.2">
      <c r="D153" s="108"/>
      <c r="E153" s="73"/>
      <c r="F153" s="73"/>
      <c r="G153" s="73"/>
      <c r="H153" s="73"/>
    </row>
    <row r="154" spans="4:8" x14ac:dyDescent="0.2">
      <c r="D154" s="108"/>
      <c r="E154" s="73"/>
      <c r="F154" s="73"/>
      <c r="G154" s="73"/>
      <c r="H154" s="73"/>
    </row>
    <row r="155" spans="4:8" x14ac:dyDescent="0.2">
      <c r="D155" s="108"/>
      <c r="E155" s="73"/>
      <c r="F155" s="73"/>
      <c r="G155" s="73"/>
      <c r="H155" s="73"/>
    </row>
    <row r="156" spans="4:8" x14ac:dyDescent="0.2">
      <c r="D156" s="108"/>
      <c r="E156" s="73"/>
      <c r="F156" s="73"/>
      <c r="G156" s="73"/>
      <c r="H156" s="73"/>
    </row>
    <row r="157" spans="4:8" x14ac:dyDescent="0.2">
      <c r="D157" s="108"/>
      <c r="E157" s="73"/>
      <c r="F157" s="73"/>
      <c r="G157" s="73"/>
      <c r="H157" s="73"/>
    </row>
    <row r="158" spans="4:8" x14ac:dyDescent="0.2">
      <c r="D158" s="108"/>
      <c r="E158" s="73"/>
      <c r="F158" s="73"/>
      <c r="G158" s="73"/>
      <c r="H158" s="73"/>
    </row>
    <row r="159" spans="4:8" x14ac:dyDescent="0.2">
      <c r="D159" s="108"/>
      <c r="E159" s="73"/>
      <c r="F159" s="73"/>
      <c r="G159" s="73"/>
      <c r="H159" s="73"/>
    </row>
    <row r="160" spans="4:8" x14ac:dyDescent="0.2">
      <c r="D160" s="108"/>
      <c r="E160" s="73"/>
      <c r="F160" s="73"/>
      <c r="G160" s="73"/>
      <c r="H160" s="73"/>
    </row>
    <row r="161" spans="4:8" x14ac:dyDescent="0.2">
      <c r="D161" s="108"/>
      <c r="E161" s="73"/>
      <c r="F161" s="73"/>
      <c r="G161" s="73"/>
      <c r="H161" s="73"/>
    </row>
    <row r="162" spans="4:8" x14ac:dyDescent="0.2">
      <c r="D162" s="108"/>
      <c r="E162" s="73"/>
      <c r="F162" s="73"/>
      <c r="G162" s="73"/>
      <c r="H162" s="73"/>
    </row>
    <row r="163" spans="4:8" x14ac:dyDescent="0.2">
      <c r="D163" s="108"/>
      <c r="E163" s="73"/>
      <c r="F163" s="73"/>
      <c r="G163" s="73"/>
      <c r="H163" s="73"/>
    </row>
    <row r="164" spans="4:8" x14ac:dyDescent="0.2">
      <c r="D164" s="108"/>
      <c r="E164" s="73"/>
      <c r="F164" s="73"/>
      <c r="G164" s="73"/>
      <c r="H164" s="73"/>
    </row>
    <row r="165" spans="4:8" x14ac:dyDescent="0.2">
      <c r="D165" s="108"/>
      <c r="E165" s="73"/>
      <c r="F165" s="73"/>
      <c r="G165" s="73"/>
      <c r="H165" s="73"/>
    </row>
    <row r="166" spans="4:8" x14ac:dyDescent="0.2">
      <c r="D166" s="108"/>
      <c r="E166" s="73"/>
      <c r="F166" s="73"/>
      <c r="G166" s="73"/>
      <c r="H166" s="73"/>
    </row>
    <row r="167" spans="4:8" x14ac:dyDescent="0.2">
      <c r="D167" s="108"/>
      <c r="E167" s="73"/>
      <c r="F167" s="73"/>
      <c r="G167" s="73"/>
      <c r="H167" s="73"/>
    </row>
    <row r="168" spans="4:8" x14ac:dyDescent="0.2">
      <c r="D168" s="108"/>
      <c r="E168" s="73"/>
      <c r="F168" s="73"/>
      <c r="G168" s="73"/>
      <c r="H168" s="73"/>
    </row>
    <row r="169" spans="4:8" x14ac:dyDescent="0.2">
      <c r="D169" s="108"/>
      <c r="E169" s="73"/>
      <c r="F169" s="73"/>
      <c r="G169" s="73"/>
      <c r="H169" s="73"/>
    </row>
    <row r="170" spans="4:8" x14ac:dyDescent="0.2">
      <c r="D170" s="108"/>
      <c r="E170" s="73"/>
      <c r="F170" s="73"/>
      <c r="G170" s="73"/>
      <c r="H170" s="73"/>
    </row>
    <row r="171" spans="4:8" x14ac:dyDescent="0.2">
      <c r="D171" s="108"/>
      <c r="E171" s="73"/>
      <c r="F171" s="73"/>
      <c r="G171" s="73"/>
      <c r="H171" s="73"/>
    </row>
    <row r="172" spans="4:8" x14ac:dyDescent="0.2">
      <c r="D172" s="108"/>
      <c r="E172" s="73"/>
      <c r="F172" s="73"/>
      <c r="G172" s="73"/>
      <c r="H172" s="73"/>
    </row>
    <row r="173" spans="4:8" x14ac:dyDescent="0.2">
      <c r="D173" s="108"/>
      <c r="E173" s="73"/>
      <c r="F173" s="73"/>
      <c r="G173" s="73"/>
      <c r="H173" s="73"/>
    </row>
    <row r="174" spans="4:8" x14ac:dyDescent="0.2">
      <c r="D174" s="108"/>
      <c r="E174" s="73"/>
      <c r="F174" s="73"/>
      <c r="G174" s="73"/>
      <c r="H174" s="73"/>
    </row>
    <row r="175" spans="4:8" x14ac:dyDescent="0.2">
      <c r="D175" s="108"/>
      <c r="E175" s="73"/>
      <c r="F175" s="73"/>
      <c r="G175" s="73"/>
      <c r="H175" s="73"/>
    </row>
    <row r="176" spans="4:8" x14ac:dyDescent="0.2">
      <c r="D176" s="108"/>
      <c r="E176" s="73"/>
      <c r="F176" s="73"/>
      <c r="G176" s="73"/>
      <c r="H176" s="73"/>
    </row>
    <row r="177" spans="4:8" x14ac:dyDescent="0.2">
      <c r="D177" s="108"/>
      <c r="E177" s="73"/>
      <c r="F177" s="73"/>
      <c r="G177" s="73"/>
      <c r="H177" s="73"/>
    </row>
    <row r="178" spans="4:8" x14ac:dyDescent="0.2">
      <c r="D178" s="108"/>
      <c r="E178" s="73"/>
      <c r="F178" s="73"/>
      <c r="G178" s="73"/>
      <c r="H178" s="73"/>
    </row>
    <row r="179" spans="4:8" x14ac:dyDescent="0.2">
      <c r="D179" s="108"/>
      <c r="E179" s="73"/>
      <c r="F179" s="73"/>
      <c r="G179" s="73"/>
      <c r="H179" s="73"/>
    </row>
    <row r="180" spans="4:8" x14ac:dyDescent="0.2">
      <c r="D180" s="108"/>
      <c r="E180" s="73"/>
      <c r="F180" s="73"/>
      <c r="G180" s="73"/>
      <c r="H180" s="73"/>
    </row>
    <row r="181" spans="4:8" x14ac:dyDescent="0.2">
      <c r="D181" s="108"/>
      <c r="E181" s="73"/>
      <c r="F181" s="73"/>
      <c r="G181" s="73"/>
      <c r="H181" s="73"/>
    </row>
    <row r="182" spans="4:8" x14ac:dyDescent="0.2">
      <c r="D182" s="108"/>
      <c r="E182" s="73"/>
      <c r="F182" s="73"/>
      <c r="G182" s="73"/>
      <c r="H182" s="73"/>
    </row>
    <row r="183" spans="4:8" x14ac:dyDescent="0.2">
      <c r="D183" s="108"/>
      <c r="E183" s="73"/>
      <c r="F183" s="73"/>
      <c r="G183" s="73"/>
      <c r="H183" s="73"/>
    </row>
    <row r="184" spans="4:8" x14ac:dyDescent="0.2">
      <c r="D184" s="108"/>
      <c r="E184" s="73"/>
      <c r="F184" s="73"/>
      <c r="G184" s="73"/>
      <c r="H184" s="73"/>
    </row>
    <row r="185" spans="4:8" x14ac:dyDescent="0.2">
      <c r="D185" s="108"/>
      <c r="E185" s="73"/>
      <c r="F185" s="73"/>
      <c r="G185" s="73"/>
      <c r="H185" s="73"/>
    </row>
    <row r="186" spans="4:8" x14ac:dyDescent="0.2">
      <c r="D186" s="108"/>
      <c r="E186" s="73"/>
      <c r="F186" s="73"/>
      <c r="G186" s="73"/>
      <c r="H186" s="73"/>
    </row>
    <row r="187" spans="4:8" x14ac:dyDescent="0.2">
      <c r="D187" s="108"/>
      <c r="E187" s="73"/>
      <c r="F187" s="73"/>
      <c r="G187" s="73"/>
      <c r="H187" s="73"/>
    </row>
    <row r="188" spans="4:8" x14ac:dyDescent="0.2">
      <c r="D188" s="108"/>
      <c r="E188" s="73"/>
      <c r="F188" s="73"/>
      <c r="G188" s="73"/>
      <c r="H188" s="73"/>
    </row>
    <row r="189" spans="4:8" x14ac:dyDescent="0.2">
      <c r="D189" s="108"/>
      <c r="E189" s="73"/>
      <c r="F189" s="73"/>
      <c r="G189" s="73"/>
      <c r="H189" s="73"/>
    </row>
    <row r="190" spans="4:8" x14ac:dyDescent="0.2">
      <c r="D190" s="108"/>
      <c r="E190" s="73"/>
      <c r="F190" s="73"/>
      <c r="G190" s="73"/>
      <c r="H190" s="73"/>
    </row>
    <row r="191" spans="4:8" x14ac:dyDescent="0.2">
      <c r="D191" s="108"/>
      <c r="E191" s="73"/>
      <c r="F191" s="73"/>
      <c r="G191" s="73"/>
      <c r="H191" s="73"/>
    </row>
    <row r="192" spans="4:8" x14ac:dyDescent="0.2">
      <c r="D192" s="108"/>
      <c r="E192" s="73"/>
      <c r="F192" s="73"/>
      <c r="G192" s="73"/>
      <c r="H192" s="73"/>
    </row>
    <row r="193" spans="4:8" x14ac:dyDescent="0.2">
      <c r="D193" s="108"/>
      <c r="E193" s="73"/>
      <c r="F193" s="73"/>
      <c r="G193" s="73"/>
      <c r="H193" s="73"/>
    </row>
    <row r="194" spans="4:8" x14ac:dyDescent="0.2">
      <c r="D194" s="108"/>
      <c r="E194" s="73"/>
      <c r="F194" s="73"/>
      <c r="G194" s="73"/>
      <c r="H194" s="73"/>
    </row>
    <row r="195" spans="4:8" x14ac:dyDescent="0.2">
      <c r="D195" s="108"/>
      <c r="E195" s="73"/>
      <c r="F195" s="73"/>
      <c r="G195" s="73"/>
      <c r="H195" s="73"/>
    </row>
    <row r="196" spans="4:8" x14ac:dyDescent="0.2">
      <c r="D196" s="108"/>
      <c r="E196" s="73"/>
      <c r="F196" s="73"/>
      <c r="G196" s="73"/>
      <c r="H196" s="73"/>
    </row>
    <row r="197" spans="4:8" x14ac:dyDescent="0.2">
      <c r="D197" s="108"/>
      <c r="E197" s="73"/>
      <c r="F197" s="73"/>
      <c r="G197" s="73"/>
      <c r="H197" s="73"/>
    </row>
    <row r="198" spans="4:8" x14ac:dyDescent="0.2">
      <c r="D198" s="108"/>
      <c r="E198" s="73"/>
      <c r="F198" s="73"/>
      <c r="G198" s="73"/>
      <c r="H198" s="73"/>
    </row>
    <row r="199" spans="4:8" x14ac:dyDescent="0.2">
      <c r="D199" s="108"/>
      <c r="E199" s="73"/>
      <c r="F199" s="73"/>
      <c r="G199" s="73"/>
      <c r="H199" s="73"/>
    </row>
    <row r="200" spans="4:8" x14ac:dyDescent="0.2">
      <c r="D200" s="108"/>
      <c r="E200" s="73"/>
      <c r="F200" s="73"/>
      <c r="G200" s="73"/>
      <c r="H200" s="73"/>
    </row>
    <row r="201" spans="4:8" x14ac:dyDescent="0.2">
      <c r="D201" s="108"/>
      <c r="E201" s="73"/>
      <c r="F201" s="73"/>
      <c r="G201" s="73"/>
      <c r="H201" s="73"/>
    </row>
    <row r="202" spans="4:8" x14ac:dyDescent="0.2">
      <c r="D202" s="108"/>
      <c r="E202" s="73"/>
      <c r="F202" s="73"/>
      <c r="G202" s="73"/>
      <c r="H202" s="73"/>
    </row>
    <row r="203" spans="4:8" x14ac:dyDescent="0.2">
      <c r="D203" s="108"/>
      <c r="E203" s="73"/>
      <c r="F203" s="73"/>
      <c r="G203" s="73"/>
      <c r="H203" s="73"/>
    </row>
    <row r="204" spans="4:8" x14ac:dyDescent="0.2">
      <c r="D204" s="108"/>
      <c r="E204" s="73"/>
      <c r="F204" s="73"/>
      <c r="G204" s="73"/>
      <c r="H204" s="73"/>
    </row>
    <row r="205" spans="4:8" x14ac:dyDescent="0.2">
      <c r="D205" s="108"/>
      <c r="E205" s="73"/>
      <c r="F205" s="73"/>
      <c r="G205" s="73"/>
      <c r="H205" s="73"/>
    </row>
    <row r="206" spans="4:8" x14ac:dyDescent="0.2">
      <c r="D206" s="108"/>
      <c r="E206" s="73"/>
      <c r="F206" s="73"/>
      <c r="G206" s="73"/>
      <c r="H206" s="73"/>
    </row>
    <row r="207" spans="4:8" x14ac:dyDescent="0.2">
      <c r="D207" s="108"/>
      <c r="E207" s="73"/>
      <c r="F207" s="73"/>
      <c r="G207" s="73"/>
      <c r="H207" s="73"/>
    </row>
    <row r="208" spans="4:8" x14ac:dyDescent="0.2">
      <c r="D208" s="108"/>
      <c r="E208" s="73"/>
      <c r="F208" s="73"/>
      <c r="G208" s="73"/>
      <c r="H208" s="73"/>
    </row>
    <row r="209" spans="4:8" x14ac:dyDescent="0.2">
      <c r="D209" s="108"/>
      <c r="E209" s="73"/>
      <c r="F209" s="73"/>
      <c r="G209" s="73"/>
      <c r="H209" s="73"/>
    </row>
    <row r="210" spans="4:8" x14ac:dyDescent="0.2">
      <c r="D210" s="108"/>
      <c r="E210" s="73"/>
      <c r="F210" s="73"/>
      <c r="G210" s="73"/>
      <c r="H210" s="73"/>
    </row>
    <row r="211" spans="4:8" x14ac:dyDescent="0.2">
      <c r="D211" s="108"/>
      <c r="E211" s="73"/>
      <c r="F211" s="73"/>
      <c r="G211" s="73"/>
      <c r="H211" s="73"/>
    </row>
    <row r="212" spans="4:8" x14ac:dyDescent="0.2">
      <c r="D212" s="108"/>
      <c r="E212" s="73"/>
      <c r="F212" s="73"/>
      <c r="G212" s="73"/>
      <c r="H212" s="73"/>
    </row>
    <row r="213" spans="4:8" x14ac:dyDescent="0.2">
      <c r="D213" s="108"/>
      <c r="E213" s="73"/>
      <c r="F213" s="73"/>
      <c r="G213" s="73"/>
      <c r="H213" s="73"/>
    </row>
    <row r="214" spans="4:8" x14ac:dyDescent="0.2">
      <c r="D214" s="108"/>
      <c r="E214" s="73"/>
      <c r="F214" s="73"/>
      <c r="G214" s="73"/>
      <c r="H214" s="73"/>
    </row>
    <row r="215" spans="4:8" x14ac:dyDescent="0.2">
      <c r="D215" s="108"/>
      <c r="E215" s="73"/>
      <c r="F215" s="73"/>
      <c r="G215" s="73"/>
      <c r="H215" s="73"/>
    </row>
    <row r="216" spans="4:8" x14ac:dyDescent="0.2">
      <c r="D216" s="108"/>
      <c r="E216" s="73"/>
      <c r="F216" s="73"/>
      <c r="G216" s="73"/>
      <c r="H216" s="73"/>
    </row>
    <row r="217" spans="4:8" x14ac:dyDescent="0.2">
      <c r="D217" s="108"/>
      <c r="E217" s="73"/>
      <c r="F217" s="73"/>
      <c r="G217" s="73"/>
      <c r="H217" s="73"/>
    </row>
    <row r="218" spans="4:8" x14ac:dyDescent="0.2">
      <c r="D218" s="108"/>
      <c r="E218" s="73"/>
      <c r="F218" s="73"/>
      <c r="G218" s="73"/>
      <c r="H218" s="73"/>
    </row>
    <row r="219" spans="4:8" x14ac:dyDescent="0.2">
      <c r="D219" s="108"/>
      <c r="E219" s="73"/>
      <c r="F219" s="73"/>
      <c r="G219" s="73"/>
      <c r="H219" s="73"/>
    </row>
    <row r="220" spans="4:8" x14ac:dyDescent="0.2">
      <c r="D220" s="108"/>
      <c r="E220" s="73"/>
      <c r="F220" s="73"/>
      <c r="G220" s="73"/>
      <c r="H220" s="73"/>
    </row>
    <row r="221" spans="4:8" x14ac:dyDescent="0.2">
      <c r="D221" s="108"/>
      <c r="E221" s="73"/>
      <c r="F221" s="73"/>
      <c r="G221" s="73"/>
      <c r="H221" s="73"/>
    </row>
    <row r="222" spans="4:8" x14ac:dyDescent="0.2">
      <c r="D222" s="108"/>
      <c r="E222" s="73"/>
      <c r="F222" s="73"/>
      <c r="G222" s="73"/>
      <c r="H222" s="73"/>
    </row>
    <row r="223" spans="4:8" x14ac:dyDescent="0.2">
      <c r="D223" s="108"/>
      <c r="E223" s="73"/>
      <c r="F223" s="73"/>
      <c r="G223" s="73"/>
      <c r="H223" s="73"/>
    </row>
    <row r="224" spans="4:8" x14ac:dyDescent="0.2">
      <c r="D224" s="108"/>
      <c r="E224" s="73"/>
      <c r="F224" s="73"/>
      <c r="G224" s="73"/>
      <c r="H224" s="73"/>
    </row>
    <row r="225" spans="4:8" x14ac:dyDescent="0.2">
      <c r="D225" s="108"/>
      <c r="E225" s="73"/>
      <c r="F225" s="73"/>
      <c r="G225" s="73"/>
      <c r="H225" s="73"/>
    </row>
    <row r="226" spans="4:8" x14ac:dyDescent="0.2">
      <c r="D226" s="108"/>
      <c r="E226" s="73"/>
      <c r="F226" s="73"/>
      <c r="G226" s="73"/>
      <c r="H226" s="73"/>
    </row>
    <row r="227" spans="4:8" x14ac:dyDescent="0.2">
      <c r="D227" s="108"/>
      <c r="E227" s="73"/>
      <c r="F227" s="73"/>
      <c r="G227" s="73"/>
      <c r="H227" s="73"/>
    </row>
    <row r="228" spans="4:8" x14ac:dyDescent="0.2">
      <c r="D228" s="108"/>
      <c r="E228" s="73"/>
      <c r="F228" s="73"/>
      <c r="G228" s="73"/>
      <c r="H228" s="73"/>
    </row>
    <row r="229" spans="4:8" x14ac:dyDescent="0.2">
      <c r="D229" s="108"/>
      <c r="E229" s="73"/>
      <c r="F229" s="73"/>
      <c r="G229" s="73"/>
      <c r="H229" s="73"/>
    </row>
    <row r="230" spans="4:8" x14ac:dyDescent="0.2">
      <c r="D230" s="108"/>
      <c r="E230" s="73"/>
      <c r="F230" s="73"/>
      <c r="G230" s="73"/>
      <c r="H230" s="73"/>
    </row>
    <row r="231" spans="4:8" x14ac:dyDescent="0.2">
      <c r="D231" s="108"/>
      <c r="E231" s="73"/>
      <c r="F231" s="73"/>
      <c r="G231" s="73"/>
      <c r="H231" s="73"/>
    </row>
    <row r="232" spans="4:8" x14ac:dyDescent="0.2">
      <c r="D232" s="108"/>
      <c r="E232" s="73"/>
      <c r="F232" s="73"/>
      <c r="G232" s="73"/>
      <c r="H232" s="73"/>
    </row>
    <row r="233" spans="4:8" x14ac:dyDescent="0.2">
      <c r="D233" s="108"/>
      <c r="E233" s="73"/>
      <c r="F233" s="73"/>
      <c r="G233" s="73"/>
      <c r="H233" s="73"/>
    </row>
    <row r="234" spans="4:8" x14ac:dyDescent="0.2">
      <c r="D234" s="108"/>
      <c r="E234" s="73"/>
      <c r="F234" s="73"/>
      <c r="G234" s="73"/>
      <c r="H234" s="73"/>
    </row>
    <row r="235" spans="4:8" x14ac:dyDescent="0.2">
      <c r="D235" s="108"/>
      <c r="E235" s="73"/>
      <c r="F235" s="73"/>
      <c r="G235" s="73"/>
      <c r="H235" s="73"/>
    </row>
    <row r="236" spans="4:8" x14ac:dyDescent="0.2">
      <c r="D236" s="108"/>
      <c r="E236" s="73"/>
      <c r="F236" s="73"/>
      <c r="G236" s="73"/>
      <c r="H236" s="73"/>
    </row>
    <row r="237" spans="4:8" x14ac:dyDescent="0.2">
      <c r="D237" s="108"/>
      <c r="E237" s="73"/>
      <c r="F237" s="73"/>
      <c r="G237" s="73"/>
      <c r="H237" s="73"/>
    </row>
    <row r="238" spans="4:8" x14ac:dyDescent="0.2">
      <c r="D238" s="108"/>
      <c r="E238" s="73"/>
      <c r="F238" s="73"/>
      <c r="G238" s="73"/>
      <c r="H238" s="73"/>
    </row>
    <row r="239" spans="4:8" x14ac:dyDescent="0.2">
      <c r="D239" s="108"/>
      <c r="E239" s="73"/>
      <c r="F239" s="73"/>
      <c r="G239" s="73"/>
      <c r="H239" s="73"/>
    </row>
    <row r="240" spans="4:8" x14ac:dyDescent="0.2">
      <c r="D240" s="108"/>
      <c r="E240" s="73"/>
      <c r="F240" s="73"/>
      <c r="G240" s="73"/>
      <c r="H240" s="73"/>
    </row>
    <row r="241" spans="4:8" x14ac:dyDescent="0.2">
      <c r="D241" s="108"/>
      <c r="E241" s="73"/>
      <c r="F241" s="73"/>
      <c r="G241" s="73"/>
      <c r="H241" s="73"/>
    </row>
    <row r="242" spans="4:8" x14ac:dyDescent="0.2">
      <c r="D242" s="108"/>
      <c r="E242" s="73"/>
      <c r="F242" s="73"/>
      <c r="G242" s="73"/>
      <c r="H242" s="73"/>
    </row>
    <row r="243" spans="4:8" x14ac:dyDescent="0.2">
      <c r="D243" s="108"/>
      <c r="E243" s="73"/>
      <c r="F243" s="73"/>
      <c r="G243" s="73"/>
      <c r="H243" s="73"/>
    </row>
    <row r="244" spans="4:8" x14ac:dyDescent="0.2">
      <c r="D244" s="108"/>
      <c r="E244" s="73"/>
      <c r="F244" s="73"/>
      <c r="G244" s="73"/>
      <c r="H244" s="73"/>
    </row>
    <row r="245" spans="4:8" x14ac:dyDescent="0.2">
      <c r="D245" s="108"/>
      <c r="E245" s="73"/>
      <c r="F245" s="73"/>
      <c r="G245" s="73"/>
      <c r="H245" s="73"/>
    </row>
    <row r="246" spans="4:8" x14ac:dyDescent="0.2">
      <c r="D246" s="108"/>
      <c r="E246" s="73"/>
      <c r="F246" s="73"/>
      <c r="G246" s="73"/>
      <c r="H246" s="73"/>
    </row>
    <row r="247" spans="4:8" x14ac:dyDescent="0.2">
      <c r="D247" s="108"/>
      <c r="E247" s="73"/>
      <c r="F247" s="73"/>
      <c r="G247" s="73"/>
      <c r="H247" s="73"/>
    </row>
    <row r="248" spans="4:8" x14ac:dyDescent="0.2">
      <c r="D248" s="108"/>
      <c r="E248" s="73"/>
      <c r="F248" s="73"/>
      <c r="G248" s="73"/>
      <c r="H248" s="73"/>
    </row>
    <row r="249" spans="4:8" x14ac:dyDescent="0.2">
      <c r="D249" s="108"/>
      <c r="E249" s="73"/>
      <c r="F249" s="73"/>
      <c r="G249" s="73"/>
      <c r="H249" s="73"/>
    </row>
    <row r="250" spans="4:8" x14ac:dyDescent="0.2">
      <c r="D250" s="108"/>
      <c r="E250" s="73"/>
      <c r="F250" s="73"/>
      <c r="G250" s="73"/>
      <c r="H250" s="73"/>
    </row>
    <row r="251" spans="4:8" x14ac:dyDescent="0.2">
      <c r="D251" s="108"/>
      <c r="E251" s="73"/>
      <c r="F251" s="73"/>
      <c r="G251" s="73"/>
      <c r="H251" s="73"/>
    </row>
    <row r="252" spans="4:8" x14ac:dyDescent="0.2">
      <c r="D252" s="108"/>
      <c r="E252" s="73"/>
      <c r="F252" s="73"/>
      <c r="G252" s="73"/>
      <c r="H252" s="73"/>
    </row>
    <row r="253" spans="4:8" x14ac:dyDescent="0.2">
      <c r="D253" s="108"/>
      <c r="E253" s="73"/>
      <c r="F253" s="73"/>
      <c r="G253" s="73"/>
      <c r="H253" s="73"/>
    </row>
    <row r="254" spans="4:8" x14ac:dyDescent="0.2">
      <c r="D254" s="108"/>
      <c r="E254" s="73"/>
      <c r="F254" s="73"/>
      <c r="G254" s="73"/>
      <c r="H254" s="73"/>
    </row>
    <row r="255" spans="4:8" x14ac:dyDescent="0.2">
      <c r="D255" s="108"/>
      <c r="E255" s="73"/>
      <c r="F255" s="73"/>
      <c r="G255" s="73"/>
      <c r="H255" s="73"/>
    </row>
    <row r="256" spans="4:8" x14ac:dyDescent="0.2">
      <c r="D256" s="108"/>
      <c r="E256" s="73"/>
      <c r="F256" s="73"/>
      <c r="G256" s="73"/>
      <c r="H256" s="73"/>
    </row>
    <row r="257" spans="4:8" x14ac:dyDescent="0.2">
      <c r="D257" s="108"/>
      <c r="E257" s="73"/>
      <c r="F257" s="73"/>
      <c r="G257" s="73"/>
      <c r="H257" s="73"/>
    </row>
    <row r="258" spans="4:8" x14ac:dyDescent="0.2">
      <c r="D258" s="108"/>
      <c r="E258" s="73"/>
      <c r="F258" s="73"/>
      <c r="G258" s="73"/>
      <c r="H258" s="73"/>
    </row>
    <row r="259" spans="4:8" x14ac:dyDescent="0.2">
      <c r="D259" s="108"/>
      <c r="E259" s="73"/>
      <c r="F259" s="73"/>
      <c r="G259" s="73"/>
      <c r="H259" s="73"/>
    </row>
    <row r="260" spans="4:8" x14ac:dyDescent="0.2">
      <c r="D260" s="108"/>
      <c r="E260" s="73"/>
      <c r="F260" s="73"/>
      <c r="G260" s="73"/>
      <c r="H260" s="73"/>
    </row>
    <row r="261" spans="4:8" x14ac:dyDescent="0.2">
      <c r="D261" s="108"/>
      <c r="E261" s="73"/>
      <c r="F261" s="73"/>
      <c r="G261" s="73"/>
      <c r="H261" s="73"/>
    </row>
    <row r="262" spans="4:8" x14ac:dyDescent="0.2">
      <c r="D262" s="108"/>
      <c r="E262" s="73"/>
      <c r="F262" s="73"/>
      <c r="G262" s="73"/>
      <c r="H262" s="73"/>
    </row>
    <row r="263" spans="4:8" x14ac:dyDescent="0.2">
      <c r="D263" s="108"/>
      <c r="E263" s="73"/>
      <c r="F263" s="73"/>
      <c r="G263" s="73"/>
      <c r="H263" s="73"/>
    </row>
    <row r="264" spans="4:8" x14ac:dyDescent="0.2">
      <c r="D264" s="108"/>
      <c r="E264" s="73"/>
      <c r="F264" s="73"/>
      <c r="G264" s="73"/>
      <c r="H264" s="73"/>
    </row>
    <row r="265" spans="4:8" x14ac:dyDescent="0.2">
      <c r="D265" s="108"/>
      <c r="E265" s="73"/>
      <c r="F265" s="73"/>
      <c r="G265" s="73"/>
      <c r="H265" s="73"/>
    </row>
    <row r="266" spans="4:8" x14ac:dyDescent="0.2">
      <c r="D266" s="108"/>
      <c r="E266" s="73"/>
      <c r="F266" s="73"/>
      <c r="G266" s="73"/>
      <c r="H266" s="73"/>
    </row>
    <row r="267" spans="4:8" x14ac:dyDescent="0.2">
      <c r="D267" s="108"/>
      <c r="E267" s="73"/>
      <c r="F267" s="73"/>
      <c r="G267" s="73"/>
      <c r="H267" s="73"/>
    </row>
    <row r="268" spans="4:8" x14ac:dyDescent="0.2">
      <c r="D268" s="108"/>
      <c r="E268" s="73"/>
      <c r="F268" s="73"/>
      <c r="G268" s="73"/>
      <c r="H268" s="73"/>
    </row>
    <row r="269" spans="4:8" x14ac:dyDescent="0.2">
      <c r="D269" s="108"/>
      <c r="E269" s="73"/>
      <c r="F269" s="73"/>
      <c r="G269" s="73"/>
      <c r="H269" s="73"/>
    </row>
    <row r="270" spans="4:8" x14ac:dyDescent="0.2">
      <c r="D270" s="108"/>
      <c r="E270" s="73"/>
      <c r="F270" s="73"/>
      <c r="G270" s="73"/>
      <c r="H270" s="73"/>
    </row>
    <row r="271" spans="4:8" x14ac:dyDescent="0.2">
      <c r="D271" s="108"/>
      <c r="E271" s="73"/>
      <c r="F271" s="73"/>
      <c r="G271" s="73"/>
      <c r="H271" s="73"/>
    </row>
    <row r="272" spans="4:8" x14ac:dyDescent="0.2">
      <c r="D272" s="108"/>
      <c r="E272" s="73"/>
      <c r="F272" s="73"/>
      <c r="G272" s="73"/>
      <c r="H272" s="73"/>
    </row>
    <row r="273" spans="4:8" x14ac:dyDescent="0.2">
      <c r="D273" s="108"/>
      <c r="E273" s="73"/>
      <c r="F273" s="73"/>
      <c r="G273" s="73"/>
      <c r="H273" s="73"/>
    </row>
    <row r="274" spans="4:8" x14ac:dyDescent="0.2">
      <c r="D274" s="108"/>
      <c r="E274" s="73"/>
      <c r="F274" s="73"/>
      <c r="G274" s="73"/>
      <c r="H274" s="73"/>
    </row>
    <row r="275" spans="4:8" x14ac:dyDescent="0.2">
      <c r="D275" s="108"/>
      <c r="E275" s="73"/>
      <c r="F275" s="73"/>
      <c r="G275" s="73"/>
      <c r="H275" s="73"/>
    </row>
    <row r="276" spans="4:8" x14ac:dyDescent="0.2">
      <c r="D276" s="108"/>
      <c r="E276" s="73"/>
      <c r="F276" s="73"/>
      <c r="G276" s="73"/>
      <c r="H276" s="73"/>
    </row>
    <row r="277" spans="4:8" x14ac:dyDescent="0.2">
      <c r="D277" s="108"/>
      <c r="E277" s="73"/>
      <c r="F277" s="73"/>
      <c r="G277" s="73"/>
      <c r="H277" s="73"/>
    </row>
    <row r="278" spans="4:8" x14ac:dyDescent="0.2">
      <c r="D278" s="108"/>
      <c r="E278" s="73"/>
      <c r="F278" s="73"/>
      <c r="G278" s="73"/>
      <c r="H278" s="73"/>
    </row>
    <row r="279" spans="4:8" x14ac:dyDescent="0.2">
      <c r="D279" s="108"/>
      <c r="E279" s="73"/>
      <c r="F279" s="73"/>
      <c r="G279" s="73"/>
      <c r="H279" s="73"/>
    </row>
    <row r="280" spans="4:8" x14ac:dyDescent="0.2">
      <c r="D280" s="108"/>
      <c r="E280" s="73"/>
      <c r="F280" s="73"/>
      <c r="G280" s="73"/>
      <c r="H280" s="73"/>
    </row>
    <row r="281" spans="4:8" x14ac:dyDescent="0.2">
      <c r="D281" s="108"/>
      <c r="E281" s="73"/>
      <c r="F281" s="73"/>
      <c r="G281" s="73"/>
      <c r="H281" s="73"/>
    </row>
    <row r="282" spans="4:8" x14ac:dyDescent="0.2">
      <c r="D282" s="108"/>
      <c r="E282" s="73"/>
      <c r="F282" s="73"/>
      <c r="G282" s="73"/>
      <c r="H282" s="73"/>
    </row>
    <row r="283" spans="4:8" x14ac:dyDescent="0.2">
      <c r="D283" s="108"/>
      <c r="E283" s="73"/>
      <c r="F283" s="73"/>
      <c r="G283" s="73"/>
      <c r="H283" s="73"/>
    </row>
    <row r="284" spans="4:8" x14ac:dyDescent="0.2">
      <c r="D284" s="108"/>
      <c r="E284" s="73"/>
      <c r="F284" s="73"/>
      <c r="G284" s="73"/>
      <c r="H284" s="73"/>
    </row>
    <row r="285" spans="4:8" x14ac:dyDescent="0.2">
      <c r="D285" s="108"/>
      <c r="E285" s="73"/>
      <c r="F285" s="73"/>
      <c r="G285" s="73"/>
      <c r="H285" s="73"/>
    </row>
    <row r="286" spans="4:8" x14ac:dyDescent="0.2">
      <c r="D286" s="108"/>
      <c r="E286" s="73"/>
      <c r="F286" s="73"/>
      <c r="G286" s="73"/>
      <c r="H286" s="73"/>
    </row>
    <row r="287" spans="4:8" x14ac:dyDescent="0.2">
      <c r="D287" s="108"/>
      <c r="E287" s="73"/>
      <c r="F287" s="73"/>
      <c r="G287" s="73"/>
      <c r="H287" s="73"/>
    </row>
    <row r="288" spans="4:8" x14ac:dyDescent="0.2">
      <c r="D288" s="108"/>
      <c r="E288" s="73"/>
      <c r="F288" s="73"/>
      <c r="G288" s="73"/>
      <c r="H288" s="73"/>
    </row>
    <row r="289" spans="4:8" x14ac:dyDescent="0.2">
      <c r="D289" s="108"/>
      <c r="E289" s="73"/>
      <c r="F289" s="73"/>
      <c r="G289" s="73"/>
      <c r="H289" s="73"/>
    </row>
    <row r="290" spans="4:8" x14ac:dyDescent="0.2">
      <c r="D290" s="108"/>
      <c r="E290" s="73"/>
      <c r="F290" s="73"/>
      <c r="G290" s="73"/>
      <c r="H290" s="73"/>
    </row>
    <row r="291" spans="4:8" x14ac:dyDescent="0.2">
      <c r="D291" s="108"/>
      <c r="E291" s="73"/>
      <c r="F291" s="73"/>
      <c r="G291" s="73"/>
      <c r="H291" s="73"/>
    </row>
    <row r="292" spans="4:8" x14ac:dyDescent="0.2">
      <c r="D292" s="108"/>
      <c r="E292" s="73"/>
      <c r="F292" s="73"/>
      <c r="G292" s="73"/>
      <c r="H292" s="73"/>
    </row>
    <row r="293" spans="4:8" x14ac:dyDescent="0.2">
      <c r="D293" s="108"/>
      <c r="E293" s="73"/>
      <c r="F293" s="73"/>
      <c r="G293" s="73"/>
      <c r="H293" s="73"/>
    </row>
    <row r="294" spans="4:8" x14ac:dyDescent="0.2">
      <c r="D294" s="108"/>
      <c r="E294" s="73"/>
      <c r="F294" s="73"/>
      <c r="G294" s="73"/>
      <c r="H294" s="73"/>
    </row>
    <row r="295" spans="4:8" x14ac:dyDescent="0.2">
      <c r="D295" s="108"/>
      <c r="E295" s="73"/>
      <c r="F295" s="73"/>
      <c r="G295" s="73"/>
      <c r="H295" s="73"/>
    </row>
    <row r="296" spans="4:8" x14ac:dyDescent="0.2">
      <c r="D296" s="108"/>
      <c r="E296" s="73"/>
      <c r="F296" s="73"/>
      <c r="G296" s="73"/>
      <c r="H296" s="73"/>
    </row>
    <row r="297" spans="4:8" x14ac:dyDescent="0.2">
      <c r="D297" s="108"/>
      <c r="E297" s="73"/>
      <c r="F297" s="73"/>
      <c r="G297" s="73"/>
      <c r="H297" s="73"/>
    </row>
    <row r="298" spans="4:8" x14ac:dyDescent="0.2">
      <c r="D298" s="108"/>
      <c r="E298" s="73"/>
      <c r="F298" s="73"/>
      <c r="G298" s="73"/>
      <c r="H298" s="73"/>
    </row>
    <row r="299" spans="4:8" x14ac:dyDescent="0.2">
      <c r="D299" s="108"/>
      <c r="E299" s="73"/>
      <c r="F299" s="73"/>
      <c r="G299" s="73"/>
      <c r="H299" s="73"/>
    </row>
    <row r="300" spans="4:8" x14ac:dyDescent="0.2">
      <c r="D300" s="108"/>
      <c r="E300" s="73"/>
      <c r="F300" s="73"/>
      <c r="G300" s="73"/>
      <c r="H300" s="73"/>
    </row>
    <row r="301" spans="4:8" x14ac:dyDescent="0.2">
      <c r="D301" s="108"/>
      <c r="E301" s="73"/>
      <c r="F301" s="73"/>
      <c r="G301" s="73"/>
      <c r="H301" s="73"/>
    </row>
    <row r="302" spans="4:8" x14ac:dyDescent="0.2">
      <c r="D302" s="108"/>
      <c r="E302" s="73"/>
      <c r="F302" s="73"/>
      <c r="G302" s="73"/>
      <c r="H302" s="73"/>
    </row>
    <row r="303" spans="4:8" x14ac:dyDescent="0.2">
      <c r="D303" s="108"/>
      <c r="E303" s="73"/>
      <c r="F303" s="73"/>
      <c r="G303" s="73"/>
      <c r="H303" s="73"/>
    </row>
    <row r="304" spans="4:8" x14ac:dyDescent="0.2">
      <c r="D304" s="108"/>
      <c r="E304" s="73"/>
      <c r="F304" s="73"/>
      <c r="G304" s="73"/>
      <c r="H304" s="73"/>
    </row>
    <row r="305" spans="4:8" x14ac:dyDescent="0.2">
      <c r="D305" s="108"/>
      <c r="E305" s="73"/>
      <c r="F305" s="73"/>
      <c r="G305" s="73"/>
      <c r="H305" s="73"/>
    </row>
    <row r="306" spans="4:8" x14ac:dyDescent="0.2">
      <c r="D306" s="108"/>
      <c r="E306" s="73"/>
      <c r="F306" s="73"/>
      <c r="G306" s="73"/>
      <c r="H306" s="73"/>
    </row>
    <row r="307" spans="4:8" x14ac:dyDescent="0.2">
      <c r="D307" s="108"/>
      <c r="E307" s="73"/>
      <c r="F307" s="73"/>
      <c r="G307" s="73"/>
      <c r="H307" s="73"/>
    </row>
    <row r="308" spans="4:8" x14ac:dyDescent="0.2">
      <c r="D308" s="108"/>
      <c r="E308" s="73"/>
      <c r="F308" s="73"/>
      <c r="G308" s="73"/>
      <c r="H308" s="73"/>
    </row>
    <row r="309" spans="4:8" x14ac:dyDescent="0.2">
      <c r="D309" s="108"/>
      <c r="E309" s="73"/>
      <c r="F309" s="73"/>
      <c r="G309" s="73"/>
      <c r="H309" s="73"/>
    </row>
    <row r="310" spans="4:8" x14ac:dyDescent="0.2">
      <c r="D310" s="108"/>
      <c r="E310" s="73"/>
      <c r="F310" s="73"/>
      <c r="G310" s="73"/>
      <c r="H310" s="73"/>
    </row>
    <row r="311" spans="4:8" x14ac:dyDescent="0.2">
      <c r="D311" s="108"/>
      <c r="E311" s="73"/>
      <c r="F311" s="73"/>
      <c r="G311" s="73"/>
      <c r="H311" s="73"/>
    </row>
    <row r="312" spans="4:8" x14ac:dyDescent="0.2">
      <c r="D312" s="108"/>
      <c r="E312" s="73"/>
      <c r="F312" s="73"/>
      <c r="G312" s="73"/>
      <c r="H312" s="73"/>
    </row>
    <row r="313" spans="4:8" x14ac:dyDescent="0.2">
      <c r="D313" s="108"/>
      <c r="E313" s="73"/>
      <c r="F313" s="73"/>
      <c r="G313" s="73"/>
      <c r="H313" s="73"/>
    </row>
    <row r="314" spans="4:8" x14ac:dyDescent="0.2">
      <c r="D314" s="108"/>
      <c r="E314" s="73"/>
      <c r="F314" s="73"/>
      <c r="G314" s="73"/>
      <c r="H314" s="73"/>
    </row>
    <row r="315" spans="4:8" x14ac:dyDescent="0.2">
      <c r="D315" s="108"/>
      <c r="E315" s="73"/>
      <c r="F315" s="73"/>
      <c r="G315" s="73"/>
      <c r="H315" s="73"/>
    </row>
    <row r="316" spans="4:8" x14ac:dyDescent="0.2">
      <c r="D316" s="108"/>
      <c r="E316" s="73"/>
      <c r="F316" s="73"/>
      <c r="G316" s="73"/>
      <c r="H316" s="73"/>
    </row>
    <row r="317" spans="4:8" x14ac:dyDescent="0.2">
      <c r="D317" s="108"/>
      <c r="E317" s="73"/>
      <c r="F317" s="73"/>
      <c r="G317" s="73"/>
      <c r="H317" s="73"/>
    </row>
    <row r="318" spans="4:8" x14ac:dyDescent="0.2">
      <c r="D318" s="108"/>
      <c r="E318" s="73"/>
      <c r="F318" s="73"/>
      <c r="G318" s="73"/>
      <c r="H318" s="73"/>
    </row>
    <row r="319" spans="4:8" x14ac:dyDescent="0.2">
      <c r="D319" s="108"/>
      <c r="E319" s="73"/>
      <c r="F319" s="73"/>
      <c r="G319" s="73"/>
      <c r="H319" s="73"/>
    </row>
    <row r="320" spans="4:8" x14ac:dyDescent="0.2">
      <c r="D320" s="108"/>
      <c r="E320" s="73"/>
      <c r="F320" s="73"/>
      <c r="G320" s="73"/>
      <c r="H320" s="73"/>
    </row>
    <row r="321" spans="4:8" x14ac:dyDescent="0.2">
      <c r="D321" s="108"/>
      <c r="E321" s="73"/>
      <c r="F321" s="73"/>
      <c r="G321" s="73"/>
      <c r="H321" s="73"/>
    </row>
    <row r="322" spans="4:8" x14ac:dyDescent="0.2">
      <c r="D322" s="108"/>
      <c r="E322" s="73"/>
      <c r="F322" s="73"/>
      <c r="G322" s="73"/>
      <c r="H322" s="73"/>
    </row>
    <row r="323" spans="4:8" x14ac:dyDescent="0.2">
      <c r="D323" s="108"/>
      <c r="E323" s="73"/>
      <c r="F323" s="73"/>
      <c r="G323" s="73"/>
      <c r="H323" s="73"/>
    </row>
    <row r="324" spans="4:8" x14ac:dyDescent="0.2">
      <c r="D324" s="108"/>
      <c r="E324" s="73"/>
      <c r="F324" s="73"/>
      <c r="G324" s="73"/>
      <c r="H324" s="73"/>
    </row>
    <row r="325" spans="4:8" x14ac:dyDescent="0.2">
      <c r="D325" s="108"/>
      <c r="E325" s="73"/>
      <c r="F325" s="73"/>
      <c r="G325" s="73"/>
      <c r="H325" s="73"/>
    </row>
    <row r="326" spans="4:8" x14ac:dyDescent="0.2">
      <c r="D326" s="108"/>
      <c r="E326" s="73"/>
      <c r="F326" s="73"/>
      <c r="G326" s="73"/>
      <c r="H326" s="73"/>
    </row>
    <row r="327" spans="4:8" x14ac:dyDescent="0.2">
      <c r="D327" s="108"/>
      <c r="E327" s="73"/>
      <c r="F327" s="73"/>
      <c r="G327" s="73"/>
      <c r="H327" s="73"/>
    </row>
    <row r="328" spans="4:8" x14ac:dyDescent="0.2">
      <c r="D328" s="108"/>
      <c r="E328" s="73"/>
      <c r="F328" s="73"/>
      <c r="G328" s="73"/>
      <c r="H328" s="73"/>
    </row>
    <row r="329" spans="4:8" x14ac:dyDescent="0.2">
      <c r="D329" s="108"/>
      <c r="E329" s="73"/>
      <c r="F329" s="73"/>
      <c r="G329" s="73"/>
      <c r="H329" s="73"/>
    </row>
    <row r="330" spans="4:8" x14ac:dyDescent="0.2">
      <c r="D330" s="108"/>
      <c r="E330" s="73"/>
      <c r="F330" s="73"/>
      <c r="G330" s="73"/>
      <c r="H330" s="73"/>
    </row>
    <row r="331" spans="4:8" x14ac:dyDescent="0.2">
      <c r="D331" s="108"/>
      <c r="E331" s="73"/>
      <c r="F331" s="73"/>
      <c r="G331" s="73"/>
      <c r="H331" s="73"/>
    </row>
    <row r="332" spans="4:8" x14ac:dyDescent="0.2">
      <c r="D332" s="108"/>
      <c r="E332" s="73"/>
      <c r="F332" s="73"/>
      <c r="G332" s="73"/>
      <c r="H332" s="73"/>
    </row>
    <row r="333" spans="4:8" x14ac:dyDescent="0.2">
      <c r="D333" s="108"/>
      <c r="E333" s="73"/>
      <c r="F333" s="73"/>
      <c r="G333" s="73"/>
      <c r="H333" s="73"/>
    </row>
    <row r="334" spans="4:8" x14ac:dyDescent="0.2">
      <c r="D334" s="108"/>
      <c r="E334" s="73"/>
      <c r="F334" s="73"/>
      <c r="G334" s="73"/>
      <c r="H334" s="73"/>
    </row>
    <row r="335" spans="4:8" x14ac:dyDescent="0.2">
      <c r="D335" s="108"/>
      <c r="E335" s="73"/>
      <c r="F335" s="73"/>
      <c r="G335" s="73"/>
      <c r="H335" s="73"/>
    </row>
    <row r="336" spans="4:8" x14ac:dyDescent="0.2">
      <c r="D336" s="108"/>
      <c r="E336" s="73"/>
      <c r="F336" s="73"/>
      <c r="G336" s="73"/>
      <c r="H336" s="73"/>
    </row>
    <row r="337" spans="4:8" x14ac:dyDescent="0.2">
      <c r="D337" s="108"/>
      <c r="E337" s="73"/>
      <c r="F337" s="73"/>
      <c r="G337" s="73"/>
      <c r="H337" s="73"/>
    </row>
    <row r="338" spans="4:8" x14ac:dyDescent="0.2">
      <c r="D338" s="108"/>
      <c r="E338" s="73"/>
      <c r="F338" s="73"/>
      <c r="G338" s="73"/>
      <c r="H338" s="73"/>
    </row>
    <row r="339" spans="4:8" x14ac:dyDescent="0.2">
      <c r="D339" s="108"/>
      <c r="E339" s="73"/>
      <c r="F339" s="73"/>
      <c r="G339" s="73"/>
      <c r="H339" s="73"/>
    </row>
    <row r="340" spans="4:8" x14ac:dyDescent="0.2">
      <c r="D340" s="108"/>
      <c r="E340" s="73"/>
      <c r="F340" s="73"/>
      <c r="G340" s="73"/>
      <c r="H340" s="73"/>
    </row>
    <row r="341" spans="4:8" x14ac:dyDescent="0.2">
      <c r="D341" s="108"/>
      <c r="E341" s="73"/>
      <c r="F341" s="73"/>
      <c r="G341" s="73"/>
      <c r="H341" s="73"/>
    </row>
    <row r="342" spans="4:8" x14ac:dyDescent="0.2">
      <c r="D342" s="108"/>
      <c r="E342" s="73"/>
      <c r="F342" s="73"/>
      <c r="G342" s="73"/>
      <c r="H342" s="73"/>
    </row>
    <row r="343" spans="4:8" x14ac:dyDescent="0.2">
      <c r="D343" s="108"/>
      <c r="E343" s="73"/>
      <c r="F343" s="73"/>
      <c r="G343" s="73"/>
      <c r="H343" s="73"/>
    </row>
    <row r="344" spans="4:8" x14ac:dyDescent="0.2">
      <c r="D344" s="108"/>
      <c r="E344" s="73"/>
      <c r="F344" s="73"/>
      <c r="G344" s="73"/>
      <c r="H344" s="73"/>
    </row>
    <row r="345" spans="4:8" x14ac:dyDescent="0.2">
      <c r="D345" s="108"/>
      <c r="E345" s="73"/>
      <c r="F345" s="73"/>
      <c r="G345" s="73"/>
      <c r="H345" s="73"/>
    </row>
    <row r="346" spans="4:8" x14ac:dyDescent="0.2">
      <c r="D346" s="108"/>
      <c r="E346" s="73"/>
      <c r="F346" s="73"/>
      <c r="G346" s="73"/>
      <c r="H346" s="73"/>
    </row>
    <row r="347" spans="4:8" x14ac:dyDescent="0.2">
      <c r="D347" s="108"/>
      <c r="E347" s="73"/>
      <c r="F347" s="73"/>
      <c r="G347" s="73"/>
      <c r="H347" s="73"/>
    </row>
    <row r="348" spans="4:8" x14ac:dyDescent="0.2">
      <c r="D348" s="108"/>
      <c r="E348" s="73"/>
      <c r="F348" s="73"/>
      <c r="G348" s="73"/>
      <c r="H348" s="73"/>
    </row>
    <row r="349" spans="4:8" x14ac:dyDescent="0.2">
      <c r="D349" s="108"/>
      <c r="E349" s="73"/>
      <c r="F349" s="73"/>
      <c r="G349" s="73"/>
      <c r="H349" s="73"/>
    </row>
    <row r="350" spans="4:8" x14ac:dyDescent="0.2">
      <c r="D350" s="108"/>
      <c r="E350" s="73"/>
      <c r="F350" s="73"/>
      <c r="G350" s="73"/>
      <c r="H350" s="73"/>
    </row>
    <row r="351" spans="4:8" x14ac:dyDescent="0.2">
      <c r="D351" s="108"/>
      <c r="E351" s="73"/>
      <c r="F351" s="73"/>
      <c r="G351" s="73"/>
      <c r="H351" s="73"/>
    </row>
    <row r="352" spans="4:8" x14ac:dyDescent="0.2">
      <c r="D352" s="108"/>
      <c r="E352" s="73"/>
      <c r="F352" s="73"/>
      <c r="G352" s="73"/>
      <c r="H352" s="73"/>
    </row>
    <row r="353" spans="4:8" x14ac:dyDescent="0.2">
      <c r="D353" s="108"/>
      <c r="E353" s="73"/>
      <c r="F353" s="73"/>
      <c r="G353" s="73"/>
      <c r="H353" s="73"/>
    </row>
    <row r="354" spans="4:8" x14ac:dyDescent="0.2">
      <c r="D354" s="108"/>
      <c r="E354" s="73"/>
      <c r="F354" s="73"/>
      <c r="G354" s="73"/>
      <c r="H354" s="73"/>
    </row>
    <row r="355" spans="4:8" x14ac:dyDescent="0.2">
      <c r="D355" s="108"/>
      <c r="E355" s="73"/>
      <c r="F355" s="73"/>
      <c r="G355" s="73"/>
      <c r="H355" s="73"/>
    </row>
    <row r="356" spans="4:8" x14ac:dyDescent="0.2">
      <c r="D356" s="108"/>
      <c r="E356" s="73"/>
      <c r="F356" s="73"/>
      <c r="G356" s="73"/>
      <c r="H356" s="73"/>
    </row>
    <row r="357" spans="4:8" x14ac:dyDescent="0.2">
      <c r="D357" s="108"/>
      <c r="E357" s="73"/>
      <c r="F357" s="73"/>
      <c r="G357" s="73"/>
      <c r="H357" s="73"/>
    </row>
    <row r="358" spans="4:8" x14ac:dyDescent="0.2">
      <c r="D358" s="108"/>
      <c r="E358" s="73"/>
      <c r="F358" s="73"/>
      <c r="G358" s="73"/>
      <c r="H358" s="73"/>
    </row>
    <row r="359" spans="4:8" x14ac:dyDescent="0.2">
      <c r="D359" s="108"/>
      <c r="E359" s="73"/>
      <c r="F359" s="73"/>
      <c r="G359" s="73"/>
      <c r="H359" s="73"/>
    </row>
    <row r="360" spans="4:8" x14ac:dyDescent="0.2">
      <c r="D360" s="108"/>
      <c r="E360" s="73"/>
      <c r="F360" s="73"/>
      <c r="G360" s="73"/>
      <c r="H360" s="73"/>
    </row>
    <row r="361" spans="4:8" x14ac:dyDescent="0.2">
      <c r="D361" s="108"/>
      <c r="E361" s="73"/>
      <c r="F361" s="73"/>
      <c r="G361" s="73"/>
      <c r="H361" s="73"/>
    </row>
    <row r="362" spans="4:8" x14ac:dyDescent="0.2">
      <c r="D362" s="108"/>
      <c r="E362" s="73"/>
      <c r="F362" s="73"/>
      <c r="G362" s="73"/>
      <c r="H362" s="73"/>
    </row>
    <row r="363" spans="4:8" x14ac:dyDescent="0.2">
      <c r="D363" s="108"/>
      <c r="E363" s="73"/>
      <c r="F363" s="73"/>
      <c r="G363" s="73"/>
      <c r="H363" s="73"/>
    </row>
    <row r="364" spans="4:8" x14ac:dyDescent="0.2">
      <c r="D364" s="108"/>
      <c r="E364" s="73"/>
      <c r="F364" s="73"/>
      <c r="G364" s="73"/>
      <c r="H364" s="73"/>
    </row>
    <row r="365" spans="4:8" x14ac:dyDescent="0.2">
      <c r="D365" s="108"/>
      <c r="E365" s="73"/>
      <c r="F365" s="73"/>
      <c r="G365" s="73"/>
      <c r="H365" s="73"/>
    </row>
    <row r="366" spans="4:8" x14ac:dyDescent="0.2">
      <c r="D366" s="108"/>
      <c r="E366" s="73"/>
      <c r="F366" s="73"/>
      <c r="G366" s="73"/>
      <c r="H366" s="73"/>
    </row>
    <row r="367" spans="4:8" x14ac:dyDescent="0.2">
      <c r="D367" s="108"/>
      <c r="E367" s="73"/>
      <c r="F367" s="73"/>
      <c r="G367" s="73"/>
      <c r="H367" s="73"/>
    </row>
    <row r="368" spans="4:8" x14ac:dyDescent="0.2">
      <c r="D368" s="108"/>
      <c r="E368" s="73"/>
      <c r="F368" s="73"/>
      <c r="G368" s="73"/>
      <c r="H368" s="73"/>
    </row>
    <row r="369" spans="4:8" x14ac:dyDescent="0.2">
      <c r="D369" s="108"/>
      <c r="E369" s="73"/>
      <c r="F369" s="73"/>
      <c r="G369" s="73"/>
      <c r="H369" s="73"/>
    </row>
    <row r="370" spans="4:8" x14ac:dyDescent="0.2">
      <c r="D370" s="108"/>
      <c r="E370" s="73"/>
      <c r="F370" s="73"/>
      <c r="G370" s="73"/>
      <c r="H370" s="73"/>
    </row>
    <row r="371" spans="4:8" x14ac:dyDescent="0.2">
      <c r="D371" s="108"/>
      <c r="E371" s="73"/>
      <c r="F371" s="73"/>
      <c r="G371" s="73"/>
      <c r="H371" s="73"/>
    </row>
    <row r="372" spans="4:8" x14ac:dyDescent="0.2">
      <c r="D372" s="108"/>
      <c r="E372" s="73"/>
      <c r="F372" s="73"/>
      <c r="G372" s="73"/>
      <c r="H372" s="73"/>
    </row>
    <row r="373" spans="4:8" x14ac:dyDescent="0.2">
      <c r="D373" s="108"/>
      <c r="E373" s="73"/>
      <c r="F373" s="73"/>
      <c r="G373" s="73"/>
      <c r="H373" s="73"/>
    </row>
    <row r="374" spans="4:8" x14ac:dyDescent="0.2">
      <c r="D374" s="108"/>
      <c r="E374" s="73"/>
      <c r="F374" s="73"/>
      <c r="G374" s="73"/>
      <c r="H374" s="73"/>
    </row>
    <row r="375" spans="4:8" x14ac:dyDescent="0.2">
      <c r="D375" s="108"/>
      <c r="E375" s="73"/>
      <c r="F375" s="73"/>
      <c r="G375" s="73"/>
      <c r="H375" s="73"/>
    </row>
    <row r="376" spans="4:8" x14ac:dyDescent="0.2">
      <c r="D376" s="108"/>
      <c r="E376" s="73"/>
      <c r="F376" s="73"/>
      <c r="G376" s="73"/>
      <c r="H376" s="73"/>
    </row>
    <row r="377" spans="4:8" x14ac:dyDescent="0.2">
      <c r="D377" s="108"/>
      <c r="E377" s="73"/>
      <c r="F377" s="73"/>
      <c r="G377" s="73"/>
      <c r="H377" s="73"/>
    </row>
    <row r="378" spans="4:8" x14ac:dyDescent="0.2">
      <c r="D378" s="108"/>
      <c r="E378" s="73"/>
      <c r="F378" s="73"/>
      <c r="G378" s="73"/>
      <c r="H378" s="73"/>
    </row>
    <row r="379" spans="4:8" x14ac:dyDescent="0.2">
      <c r="D379" s="108"/>
      <c r="E379" s="73"/>
      <c r="F379" s="73"/>
      <c r="G379" s="73"/>
      <c r="H379" s="73"/>
    </row>
    <row r="380" spans="4:8" x14ac:dyDescent="0.2">
      <c r="D380" s="108"/>
      <c r="E380" s="73"/>
      <c r="F380" s="73"/>
      <c r="G380" s="73"/>
      <c r="H380" s="73"/>
    </row>
    <row r="381" spans="4:8" x14ac:dyDescent="0.2">
      <c r="D381" s="108"/>
      <c r="E381" s="73"/>
      <c r="F381" s="73"/>
      <c r="G381" s="73"/>
      <c r="H381" s="73"/>
    </row>
    <row r="382" spans="4:8" x14ac:dyDescent="0.2">
      <c r="D382" s="108"/>
      <c r="E382" s="73"/>
      <c r="F382" s="73"/>
      <c r="G382" s="73"/>
      <c r="H382" s="73"/>
    </row>
    <row r="383" spans="4:8" x14ac:dyDescent="0.2">
      <c r="D383" s="108"/>
      <c r="E383" s="73"/>
      <c r="F383" s="73"/>
      <c r="G383" s="73"/>
      <c r="H383" s="73"/>
    </row>
    <row r="384" spans="4:8" x14ac:dyDescent="0.2">
      <c r="D384" s="108"/>
      <c r="E384" s="73"/>
      <c r="F384" s="73"/>
      <c r="G384" s="73"/>
      <c r="H384" s="73"/>
    </row>
    <row r="385" spans="4:8" x14ac:dyDescent="0.2">
      <c r="D385" s="108"/>
      <c r="E385" s="73"/>
      <c r="F385" s="73"/>
      <c r="G385" s="73"/>
      <c r="H385" s="73"/>
    </row>
    <row r="386" spans="4:8" x14ac:dyDescent="0.2">
      <c r="D386" s="108"/>
      <c r="E386" s="73"/>
      <c r="F386" s="73"/>
      <c r="G386" s="73"/>
      <c r="H386" s="73"/>
    </row>
    <row r="387" spans="4:8" x14ac:dyDescent="0.2">
      <c r="D387" s="108"/>
      <c r="E387" s="73"/>
      <c r="F387" s="73"/>
      <c r="G387" s="73"/>
      <c r="H387" s="73"/>
    </row>
    <row r="388" spans="4:8" x14ac:dyDescent="0.2">
      <c r="D388" s="108"/>
      <c r="E388" s="73"/>
      <c r="F388" s="73"/>
      <c r="G388" s="73"/>
      <c r="H388" s="73"/>
    </row>
    <row r="389" spans="4:8" x14ac:dyDescent="0.2">
      <c r="D389" s="108"/>
      <c r="E389" s="73"/>
      <c r="F389" s="73"/>
      <c r="G389" s="73"/>
      <c r="H389" s="73"/>
    </row>
    <row r="390" spans="4:8" x14ac:dyDescent="0.2">
      <c r="D390" s="108"/>
      <c r="E390" s="73"/>
      <c r="F390" s="73"/>
      <c r="G390" s="73"/>
      <c r="H390" s="73"/>
    </row>
    <row r="391" spans="4:8" x14ac:dyDescent="0.2">
      <c r="D391" s="108"/>
      <c r="E391" s="73"/>
      <c r="F391" s="73"/>
      <c r="G391" s="73"/>
      <c r="H391" s="73"/>
    </row>
    <row r="392" spans="4:8" x14ac:dyDescent="0.2">
      <c r="D392" s="108"/>
      <c r="E392" s="73"/>
      <c r="F392" s="73"/>
      <c r="G392" s="73"/>
      <c r="H392" s="73"/>
    </row>
    <row r="393" spans="4:8" x14ac:dyDescent="0.2">
      <c r="D393" s="108"/>
      <c r="E393" s="73"/>
      <c r="F393" s="73"/>
      <c r="G393" s="73"/>
      <c r="H393" s="73"/>
    </row>
    <row r="394" spans="4:8" x14ac:dyDescent="0.2">
      <c r="D394" s="108"/>
      <c r="E394" s="73"/>
      <c r="F394" s="73"/>
      <c r="G394" s="73"/>
      <c r="H394" s="73"/>
    </row>
    <row r="395" spans="4:8" x14ac:dyDescent="0.2">
      <c r="D395" s="108"/>
      <c r="E395" s="73"/>
      <c r="F395" s="73"/>
      <c r="G395" s="73"/>
      <c r="H395" s="73"/>
    </row>
    <row r="396" spans="4:8" x14ac:dyDescent="0.2">
      <c r="D396" s="108"/>
      <c r="E396" s="73"/>
      <c r="F396" s="73"/>
      <c r="G396" s="73"/>
      <c r="H396" s="73"/>
    </row>
    <row r="397" spans="4:8" x14ac:dyDescent="0.2">
      <c r="D397" s="108"/>
      <c r="E397" s="73"/>
      <c r="F397" s="73"/>
      <c r="G397" s="73"/>
      <c r="H397" s="73"/>
    </row>
    <row r="398" spans="4:8" x14ac:dyDescent="0.2">
      <c r="D398" s="108"/>
      <c r="E398" s="73"/>
      <c r="F398" s="73"/>
      <c r="G398" s="73"/>
      <c r="H398" s="73"/>
    </row>
    <row r="399" spans="4:8" x14ac:dyDescent="0.2">
      <c r="D399" s="108"/>
      <c r="E399" s="73"/>
      <c r="F399" s="73"/>
      <c r="G399" s="73"/>
      <c r="H399" s="73"/>
    </row>
    <row r="400" spans="4:8" x14ac:dyDescent="0.2">
      <c r="D400" s="108"/>
      <c r="E400" s="73"/>
      <c r="F400" s="73"/>
      <c r="G400" s="73"/>
      <c r="H400" s="73"/>
    </row>
    <row r="401" spans="4:8" x14ac:dyDescent="0.2">
      <c r="D401" s="108"/>
      <c r="E401" s="73"/>
      <c r="F401" s="73"/>
      <c r="G401" s="73"/>
      <c r="H401" s="73"/>
    </row>
    <row r="402" spans="4:8" x14ac:dyDescent="0.2">
      <c r="D402" s="108"/>
      <c r="E402" s="73"/>
      <c r="F402" s="73"/>
      <c r="G402" s="73"/>
      <c r="H402" s="73"/>
    </row>
    <row r="403" spans="4:8" x14ac:dyDescent="0.2">
      <c r="D403" s="108"/>
      <c r="E403" s="73"/>
      <c r="F403" s="73"/>
      <c r="G403" s="73"/>
      <c r="H403" s="73"/>
    </row>
    <row r="404" spans="4:8" x14ac:dyDescent="0.2">
      <c r="D404" s="108"/>
      <c r="E404" s="73"/>
      <c r="F404" s="73"/>
      <c r="G404" s="73"/>
      <c r="H404" s="73"/>
    </row>
    <row r="405" spans="4:8" x14ac:dyDescent="0.2">
      <c r="D405" s="108"/>
      <c r="E405" s="73"/>
      <c r="F405" s="73"/>
      <c r="G405" s="73"/>
      <c r="H405" s="73"/>
    </row>
    <row r="406" spans="4:8" x14ac:dyDescent="0.2">
      <c r="D406" s="108"/>
      <c r="E406" s="73"/>
      <c r="F406" s="73"/>
      <c r="G406" s="73"/>
      <c r="H406" s="73"/>
    </row>
    <row r="407" spans="4:8" x14ac:dyDescent="0.2">
      <c r="D407" s="108"/>
      <c r="E407" s="73"/>
      <c r="F407" s="73"/>
      <c r="G407" s="73"/>
      <c r="H407" s="73"/>
    </row>
    <row r="408" spans="4:8" x14ac:dyDescent="0.2">
      <c r="D408" s="108"/>
      <c r="E408" s="73"/>
      <c r="F408" s="73"/>
      <c r="G408" s="73"/>
      <c r="H408" s="73"/>
    </row>
    <row r="409" spans="4:8" x14ac:dyDescent="0.2">
      <c r="D409" s="108"/>
      <c r="E409" s="73"/>
      <c r="F409" s="73"/>
      <c r="G409" s="73"/>
      <c r="H409" s="73"/>
    </row>
    <row r="410" spans="4:8" x14ac:dyDescent="0.2">
      <c r="D410" s="108"/>
      <c r="E410" s="73"/>
      <c r="F410" s="73"/>
      <c r="G410" s="73"/>
      <c r="H410" s="73"/>
    </row>
    <row r="411" spans="4:8" x14ac:dyDescent="0.2">
      <c r="D411" s="108"/>
      <c r="E411" s="73"/>
      <c r="F411" s="73"/>
      <c r="G411" s="73"/>
      <c r="H411" s="73"/>
    </row>
    <row r="412" spans="4:8" x14ac:dyDescent="0.2">
      <c r="D412" s="108"/>
      <c r="E412" s="73"/>
      <c r="F412" s="73"/>
      <c r="G412" s="73"/>
      <c r="H412" s="73"/>
    </row>
    <row r="413" spans="4:8" x14ac:dyDescent="0.2">
      <c r="D413" s="108"/>
      <c r="E413" s="73"/>
      <c r="F413" s="73"/>
      <c r="G413" s="73"/>
      <c r="H413" s="73"/>
    </row>
    <row r="414" spans="4:8" x14ac:dyDescent="0.2">
      <c r="D414" s="108"/>
      <c r="E414" s="73"/>
      <c r="F414" s="73"/>
      <c r="G414" s="73"/>
      <c r="H414" s="73"/>
    </row>
    <row r="415" spans="4:8" x14ac:dyDescent="0.2">
      <c r="D415" s="108"/>
      <c r="E415" s="73"/>
      <c r="F415" s="73"/>
      <c r="G415" s="73"/>
      <c r="H415" s="73"/>
    </row>
    <row r="416" spans="4:8" x14ac:dyDescent="0.2">
      <c r="D416" s="108"/>
      <c r="E416" s="73"/>
      <c r="F416" s="73"/>
      <c r="G416" s="73"/>
      <c r="H416" s="73"/>
    </row>
    <row r="417" spans="4:8" x14ac:dyDescent="0.2">
      <c r="D417" s="108"/>
      <c r="E417" s="73"/>
      <c r="F417" s="73"/>
      <c r="G417" s="73"/>
      <c r="H417" s="73"/>
    </row>
    <row r="418" spans="4:8" x14ac:dyDescent="0.2">
      <c r="D418" s="108"/>
      <c r="E418" s="73"/>
      <c r="F418" s="73"/>
      <c r="G418" s="73"/>
      <c r="H418" s="73"/>
    </row>
    <row r="419" spans="4:8" x14ac:dyDescent="0.2">
      <c r="D419" s="108"/>
      <c r="E419" s="73"/>
      <c r="F419" s="73"/>
      <c r="G419" s="73"/>
      <c r="H419" s="73"/>
    </row>
    <row r="420" spans="4:8" x14ac:dyDescent="0.2">
      <c r="D420" s="108"/>
      <c r="E420" s="73"/>
      <c r="F420" s="73"/>
      <c r="G420" s="73"/>
      <c r="H420" s="73"/>
    </row>
    <row r="421" spans="4:8" x14ac:dyDescent="0.2">
      <c r="D421" s="108"/>
      <c r="E421" s="73"/>
      <c r="F421" s="73"/>
      <c r="G421" s="73"/>
      <c r="H421" s="73"/>
    </row>
    <row r="422" spans="4:8" x14ac:dyDescent="0.2">
      <c r="D422" s="108"/>
      <c r="E422" s="73"/>
      <c r="F422" s="73"/>
      <c r="G422" s="73"/>
      <c r="H422" s="73"/>
    </row>
    <row r="423" spans="4:8" x14ac:dyDescent="0.2">
      <c r="D423" s="108"/>
      <c r="E423" s="73"/>
      <c r="F423" s="73"/>
      <c r="G423" s="73"/>
      <c r="H423" s="73"/>
    </row>
    <row r="424" spans="4:8" x14ac:dyDescent="0.2">
      <c r="D424" s="108"/>
      <c r="E424" s="73"/>
      <c r="F424" s="73"/>
      <c r="G424" s="73"/>
      <c r="H424" s="73"/>
    </row>
    <row r="425" spans="4:8" x14ac:dyDescent="0.2">
      <c r="D425" s="108"/>
      <c r="E425" s="73"/>
      <c r="F425" s="73"/>
      <c r="G425" s="73"/>
      <c r="H425" s="73"/>
    </row>
    <row r="426" spans="4:8" x14ac:dyDescent="0.2">
      <c r="D426" s="108"/>
      <c r="E426" s="73"/>
      <c r="F426" s="73"/>
      <c r="G426" s="73"/>
      <c r="H426" s="73"/>
    </row>
    <row r="427" spans="4:8" x14ac:dyDescent="0.2">
      <c r="D427" s="108"/>
      <c r="E427" s="73"/>
      <c r="F427" s="73"/>
      <c r="G427" s="73"/>
      <c r="H427" s="73"/>
    </row>
    <row r="428" spans="4:8" x14ac:dyDescent="0.2">
      <c r="D428" s="108"/>
      <c r="E428" s="73"/>
      <c r="F428" s="73"/>
      <c r="G428" s="73"/>
      <c r="H428" s="73"/>
    </row>
    <row r="429" spans="4:8" x14ac:dyDescent="0.2">
      <c r="D429" s="108"/>
      <c r="E429" s="73"/>
      <c r="F429" s="73"/>
      <c r="G429" s="73"/>
      <c r="H429" s="73"/>
    </row>
  </sheetData>
  <mergeCells count="9">
    <mergeCell ref="I11:I12"/>
    <mergeCell ref="J13:J27"/>
    <mergeCell ref="A107:C107"/>
    <mergeCell ref="C6:H8"/>
    <mergeCell ref="A11:A12"/>
    <mergeCell ref="B11:B12"/>
    <mergeCell ref="C11:C12"/>
    <mergeCell ref="D11:D12"/>
    <mergeCell ref="E11:H11"/>
  </mergeCells>
  <printOptions horizontalCentered="1" verticalCentered="1"/>
  <pageMargins left="0.43307086614173229" right="0.39370078740157483" top="0.31496062992125984" bottom="0.39370078740157483" header="0" footer="0"/>
  <pageSetup paperSize="5" scale="40" orientation="portrait" r:id="rId1"/>
  <headerFooter alignWithMargins="0">
    <oddFooter>Página 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1"/>
  <sheetViews>
    <sheetView tabSelected="1" view="pageBreakPreview" zoomScale="60" workbookViewId="0">
      <selection activeCell="C20" sqref="C20"/>
    </sheetView>
  </sheetViews>
  <sheetFormatPr baseColWidth="10" defaultRowHeight="12.75" x14ac:dyDescent="0.2"/>
  <cols>
    <col min="1" max="1" width="17" style="213" bestFit="1" customWidth="1"/>
    <col min="2" max="2" width="34.140625" style="214" customWidth="1"/>
    <col min="3" max="3" width="20.42578125" customWidth="1"/>
    <col min="4" max="4" width="2.140625" customWidth="1"/>
    <col min="5" max="5" width="18.7109375" customWidth="1"/>
    <col min="6" max="6" width="18.5703125" customWidth="1"/>
    <col min="7" max="7" width="17.140625" customWidth="1"/>
    <col min="8" max="8" width="19.28515625" customWidth="1"/>
    <col min="9" max="9" width="15.7109375" customWidth="1"/>
    <col min="10" max="10" width="17.7109375" customWidth="1"/>
    <col min="11" max="11" width="20.42578125" style="315" customWidth="1"/>
    <col min="12" max="12" width="2.140625" style="315" customWidth="1"/>
    <col min="13" max="13" width="19.42578125" style="315" customWidth="1"/>
    <col min="14" max="14" width="12.42578125" style="315" bestFit="1" customWidth="1"/>
  </cols>
  <sheetData>
    <row r="1" spans="1:13" ht="12.75" customHeight="1" x14ac:dyDescent="0.2">
      <c r="A1" s="453" t="s">
        <v>239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</row>
    <row r="2" spans="1:13" ht="12.75" customHeight="1" x14ac:dyDescent="0.2">
      <c r="A2" s="453"/>
      <c r="B2" s="453"/>
      <c r="C2" s="453"/>
      <c r="D2" s="453"/>
      <c r="E2" s="453"/>
      <c r="F2" s="453"/>
      <c r="G2" s="453"/>
      <c r="H2" s="453"/>
      <c r="I2" s="453"/>
      <c r="J2" s="453"/>
      <c r="K2" s="453"/>
    </row>
    <row r="3" spans="1:13" ht="20.25" customHeight="1" x14ac:dyDescent="0.2">
      <c r="A3" s="453"/>
      <c r="B3" s="453"/>
      <c r="C3" s="453"/>
      <c r="D3" s="453"/>
      <c r="E3" s="453"/>
      <c r="F3" s="453"/>
      <c r="G3" s="453"/>
      <c r="H3" s="453"/>
      <c r="I3" s="453"/>
      <c r="J3" s="453"/>
      <c r="K3" s="453"/>
    </row>
    <row r="4" spans="1:13" ht="20.25" customHeight="1" x14ac:dyDescent="0.2">
      <c r="A4" s="453"/>
      <c r="B4" s="453"/>
      <c r="C4" s="453"/>
      <c r="D4" s="453"/>
      <c r="E4" s="453"/>
      <c r="F4" s="453"/>
      <c r="G4" s="453"/>
      <c r="H4" s="453"/>
      <c r="I4" s="453"/>
      <c r="J4" s="453"/>
      <c r="K4" s="453"/>
    </row>
    <row r="6" spans="1:13" x14ac:dyDescent="0.2">
      <c r="A6" s="249" t="s">
        <v>261</v>
      </c>
      <c r="E6" s="392" t="s">
        <v>255</v>
      </c>
      <c r="G6" s="249"/>
    </row>
    <row r="7" spans="1:13" x14ac:dyDescent="0.2">
      <c r="B7" s="249"/>
      <c r="G7" s="249"/>
    </row>
    <row r="8" spans="1:13" ht="24" customHeight="1" thickBot="1" x14ac:dyDescent="0.25">
      <c r="E8" s="456" t="s">
        <v>250</v>
      </c>
      <c r="F8" s="457"/>
      <c r="G8" s="457"/>
      <c r="H8" s="457"/>
      <c r="I8" s="457"/>
      <c r="J8" s="457"/>
    </row>
    <row r="9" spans="1:13" ht="13.5" thickBot="1" x14ac:dyDescent="0.25">
      <c r="A9" s="393" t="s">
        <v>237</v>
      </c>
      <c r="B9" s="394" t="s">
        <v>245</v>
      </c>
      <c r="C9" s="395" t="s">
        <v>246</v>
      </c>
      <c r="E9" s="445" t="s">
        <v>172</v>
      </c>
      <c r="F9" s="446" t="s">
        <v>125</v>
      </c>
      <c r="G9" s="446" t="s">
        <v>240</v>
      </c>
      <c r="H9" s="446" t="s">
        <v>127</v>
      </c>
      <c r="I9" s="447" t="s">
        <v>238</v>
      </c>
      <c r="J9" s="433" t="s">
        <v>277</v>
      </c>
      <c r="K9" s="315" t="s">
        <v>249</v>
      </c>
      <c r="M9" s="316" t="s">
        <v>234</v>
      </c>
    </row>
    <row r="10" spans="1:13" x14ac:dyDescent="0.2">
      <c r="A10" s="396">
        <f>'PRES. TOTAL CALENARIZADA 2013'!A13</f>
        <v>1131</v>
      </c>
      <c r="B10" s="397" t="str">
        <f>'PRES. TOTAL CALENARIZADA 2013'!C13</f>
        <v>Sueldo base</v>
      </c>
      <c r="C10" s="398">
        <f>'PRES. TOTAL CALENARIZADA 2013'!D13</f>
        <v>5222429.16</v>
      </c>
      <c r="D10" s="252"/>
      <c r="E10" s="412">
        <f>ELECTROMECANICA!E13+ALIMENTARIAS!E13+'INOVACION AGRICOLA'!E13+'SERVICIOS ESCOLARES'!E13+'DESARROLLO ACADEMICO'!E13+VINCULACIÓN!E13+PLANEACION!E13+CALIDAD!E13+'ADMON REC'!E13</f>
        <v>2611214.58</v>
      </c>
      <c r="F10" s="413">
        <f>ELECTROMECANICA!F13+ALIMENTARIAS!F13+'INOVACION AGRICOLA'!F13+'SERVICIOS ESCOLARES'!F13+'DESARROLLO ACADEMICO'!F13+VINCULACIÓN!F13+PLANEACION!F13+CALIDAD!F13+'ADMON REC'!F13</f>
        <v>2611214.58</v>
      </c>
      <c r="G10" s="413">
        <f>ELECTROMECANICA!G13+ALIMENTARIAS!G13+'INOVACION AGRICOLA'!G13+'SERVICIOS ESCOLARES'!G13+'DESARROLLO ACADEMICO'!G13+VINCULACIÓN!G13+PLANEACION!G13+CALIDAD!G13+'ADMON REC'!G13</f>
        <v>0</v>
      </c>
      <c r="H10" s="413">
        <f>ELECTROMECANICA!H13+ALIMENTARIAS!H13+'INOVACION AGRICOLA'!H13+'SERVICIOS ESCOLARES'!H13+'DESARROLLO ACADEMICO'!H13+VINCULACIÓN!H13+PLANEACION!H13+CALIDAD!H13+'ADMON REC'!H13</f>
        <v>0</v>
      </c>
      <c r="I10" s="434">
        <f>ALIMENTARIAS!I13</f>
        <v>0</v>
      </c>
      <c r="J10" s="411"/>
      <c r="K10" s="317">
        <f>E10+F10+G10+H10+I10</f>
        <v>5222429.16</v>
      </c>
      <c r="M10" s="318">
        <f t="shared" ref="M10:M24" si="0">C10-K10</f>
        <v>0</v>
      </c>
    </row>
    <row r="11" spans="1:13" x14ac:dyDescent="0.2">
      <c r="A11" s="399">
        <f>'PRES. TOTAL CALENARIZADA 2013'!A14</f>
        <v>1211</v>
      </c>
      <c r="B11" s="400" t="str">
        <f>'PRES. TOTAL CALENARIZADA 2013'!C14</f>
        <v>Honorarios asimilables a salarios</v>
      </c>
      <c r="C11" s="401">
        <f>'PRES. TOTAL CALENARIZADA 2013'!D14</f>
        <v>3245095.8500000006</v>
      </c>
      <c r="D11" s="252"/>
      <c r="E11" s="405">
        <f>ELECTROMECANICA!E14+ALIMENTARIAS!E14+'INOVACION AGRICOLA'!E14+'SERVICIOS ESCOLARES'!E14+'DESARROLLO ACADEMICO'!E14+VINCULACIÓN!E14+PLANEACION!E14+CALIDAD!E14+'ADMON REC'!E14</f>
        <v>1357118.85</v>
      </c>
      <c r="F11" s="406">
        <f>ELECTROMECANICA!F14+ALIMENTARIAS!F14+'INOVACION AGRICOLA'!F14+'SERVICIOS ESCOLARES'!F14+'DESARROLLO ACADEMICO'!F14+VINCULACIÓN!F14+PLANEACION!F14+CALIDAD!F14+'ADMON REC'!F14</f>
        <v>1357118.85</v>
      </c>
      <c r="G11" s="406">
        <f>ELECTROMECANICA!G14+ALIMENTARIAS!G14+'INOVACION AGRICOLA'!G14+'SERVICIOS ESCOLARES'!G14+'DESARROLLO ACADEMICO'!G14+VINCULACIÓN!G14+PLANEACION!G14+CALIDAD!G14+'ADMON REC'!G14</f>
        <v>0</v>
      </c>
      <c r="H11" s="406">
        <f>ELECTROMECANICA!H14+ALIMENTARIAS!H14+'INOVACION AGRICOLA'!H14+'SERVICIOS ESCOLARES'!H14+'DESARROLLO ACADEMICO'!H14+VINCULACIÓN!H14+PLANEACION!H14+CALIDAD!H14+'ADMON REC'!H14</f>
        <v>530858.15</v>
      </c>
      <c r="I11" s="431">
        <f>ALIMENTARIAS!I14</f>
        <v>0</v>
      </c>
      <c r="J11" s="401"/>
      <c r="K11" s="319">
        <f t="shared" ref="K11:K24" si="1">E11+F11+G11+H11+I11</f>
        <v>3245095.85</v>
      </c>
      <c r="M11" s="320">
        <f t="shared" si="0"/>
        <v>0</v>
      </c>
    </row>
    <row r="12" spans="1:13" ht="22.5" x14ac:dyDescent="0.2">
      <c r="A12" s="399">
        <f>'PRES. TOTAL CALENARIZADA 2013'!A15</f>
        <v>1311</v>
      </c>
      <c r="B12" s="400" t="str">
        <f>'PRES. TOTAL CALENARIZADA 2013'!C15</f>
        <v>Prima quinquenal por años de servicio efectivos prestados</v>
      </c>
      <c r="C12" s="401">
        <f>'PRES. TOTAL CALENARIZADA 2013'!D15</f>
        <v>437727.67999999993</v>
      </c>
      <c r="D12" s="252"/>
      <c r="E12" s="405">
        <f>ELECTROMECANICA!E15+ALIMENTARIAS!E15+'INOVACION AGRICOLA'!E15+'SERVICIOS ESCOLARES'!E15+'DESARROLLO ACADEMICO'!E15+VINCULACIÓN!E15+PLANEACION!E15+CALIDAD!E15+'ADMON REC'!E15</f>
        <v>218863.84</v>
      </c>
      <c r="F12" s="406">
        <f>ELECTROMECANICA!F15+ALIMENTARIAS!F15+'INOVACION AGRICOLA'!F15+'SERVICIOS ESCOLARES'!F15+'DESARROLLO ACADEMICO'!F15+VINCULACIÓN!F15+PLANEACION!F15+CALIDAD!F15+'ADMON REC'!F15</f>
        <v>218863.84</v>
      </c>
      <c r="G12" s="406">
        <f>ELECTROMECANICA!G15+ALIMENTARIAS!G15+'INOVACION AGRICOLA'!G15+'SERVICIOS ESCOLARES'!G15+'DESARROLLO ACADEMICO'!G15+VINCULACIÓN!G15+PLANEACION!G15+CALIDAD!G15+'ADMON REC'!G15</f>
        <v>0</v>
      </c>
      <c r="H12" s="406">
        <f>ELECTROMECANICA!H15+ALIMENTARIAS!H15+'INOVACION AGRICOLA'!H15+'SERVICIOS ESCOLARES'!H15+'DESARROLLO ACADEMICO'!H15+VINCULACIÓN!H15+PLANEACION!H15+CALIDAD!H15+'ADMON REC'!H15</f>
        <v>0</v>
      </c>
      <c r="I12" s="431">
        <f>ALIMENTARIAS!I15</f>
        <v>0</v>
      </c>
      <c r="J12" s="401"/>
      <c r="K12" s="319">
        <f t="shared" si="1"/>
        <v>437727.68</v>
      </c>
      <c r="M12" s="320">
        <f t="shared" si="0"/>
        <v>0</v>
      </c>
    </row>
    <row r="13" spans="1:13" x14ac:dyDescent="0.2">
      <c r="A13" s="399">
        <f>'PRES. TOTAL CALENARIZADA 2013'!A16</f>
        <v>1321</v>
      </c>
      <c r="B13" s="400" t="str">
        <f>'PRES. TOTAL CALENARIZADA 2013'!C16</f>
        <v>Prima vacacional y dominical</v>
      </c>
      <c r="C13" s="401">
        <f>'PRES. TOTAL CALENARIZADA 2013'!D16</f>
        <v>519476.23999999993</v>
      </c>
      <c r="D13" s="252"/>
      <c r="E13" s="405">
        <f>ELECTROMECANICA!E16+ALIMENTARIAS!E16+'INOVACION AGRICOLA'!E16+'SERVICIOS ESCOLARES'!E16+'DESARROLLO ACADEMICO'!E16+VINCULACIÓN!E16+PLANEACION!E16+CALIDAD!E16+'ADMON REC'!E16</f>
        <v>249172.39000000004</v>
      </c>
      <c r="F13" s="406">
        <f>ELECTROMECANICA!F16+ALIMENTARIAS!F16+'INOVACION AGRICOLA'!F16+'SERVICIOS ESCOLARES'!F16+'DESARROLLO ACADEMICO'!F16+VINCULACIÓN!F16+PLANEACION!F16+CALIDAD!F16+'ADMON REC'!F16</f>
        <v>249172.39000000004</v>
      </c>
      <c r="G13" s="406">
        <f>ELECTROMECANICA!G16+ALIMENTARIAS!G16+'INOVACION AGRICOLA'!G16+'SERVICIOS ESCOLARES'!G16+'DESARROLLO ACADEMICO'!G16+VINCULACIÓN!G16+PLANEACION!G16+CALIDAD!G16+'ADMON REC'!G16</f>
        <v>0</v>
      </c>
      <c r="H13" s="406">
        <f>ELECTROMECANICA!H16+ALIMENTARIAS!H16+'INOVACION AGRICOLA'!H16+'SERVICIOS ESCOLARES'!H16+'DESARROLLO ACADEMICO'!H16+VINCULACIÓN!H16+PLANEACION!H16+CALIDAD!H16+'ADMON REC'!H16</f>
        <v>21131.46</v>
      </c>
      <c r="I13" s="431">
        <f>ALIMENTARIAS!I16</f>
        <v>0</v>
      </c>
      <c r="J13" s="401"/>
      <c r="K13" s="319">
        <f t="shared" si="1"/>
        <v>519476.24000000011</v>
      </c>
      <c r="M13" s="320">
        <f t="shared" si="0"/>
        <v>0</v>
      </c>
    </row>
    <row r="14" spans="1:13" x14ac:dyDescent="0.2">
      <c r="A14" s="399">
        <f>'PRES. TOTAL CALENARIZADA 2013'!A17</f>
        <v>1322</v>
      </c>
      <c r="B14" s="400" t="str">
        <f>'PRES. TOTAL CALENARIZADA 2013'!C17</f>
        <v>Aguinaldo</v>
      </c>
      <c r="C14" s="401">
        <f>'PRES. TOTAL CALENARIZADA 2013'!D17</f>
        <v>1209840.4100000001</v>
      </c>
      <c r="D14" s="252"/>
      <c r="E14" s="405">
        <f>ELECTROMECANICA!E17+ALIMENTARIAS!E17+'INOVACION AGRICOLA'!E17+'SERVICIOS ESCOLARES'!E17+'DESARROLLO ACADEMICO'!E17+VINCULACIÓN!E17+PLANEACION!E17+CALIDAD!E17+'ADMON REC'!E17</f>
        <v>627333.98</v>
      </c>
      <c r="F14" s="406">
        <f>ELECTROMECANICA!F17+ALIMENTARIAS!F17+'INOVACION AGRICOLA'!F17+'SERVICIOS ESCOLARES'!F17+'DESARROLLO ACADEMICO'!F17+VINCULACIÓN!F17+PLANEACION!F17+CALIDAD!F17+'ADMON REC'!F17</f>
        <v>415287.32000000007</v>
      </c>
      <c r="G14" s="406">
        <f>ELECTROMECANICA!G17+ALIMENTARIAS!G17+'INOVACION AGRICOLA'!G17+'SERVICIOS ESCOLARES'!G17+'DESARROLLO ACADEMICO'!G17+VINCULACIÓN!G17+PLANEACION!G17+CALIDAD!G17+'ADMON REC'!G17</f>
        <v>49000</v>
      </c>
      <c r="H14" s="406">
        <f>ELECTROMECANICA!H17+ALIMENTARIAS!H17+'INOVACION AGRICOLA'!H17+'SERVICIOS ESCOLARES'!H17+'DESARROLLO ACADEMICO'!H17+VINCULACIÓN!H17+PLANEACION!H17+CALIDAD!H17+'ADMON REC'!H17</f>
        <v>118219.11</v>
      </c>
      <c r="I14" s="431">
        <f>ALIMENTARIAS!I17</f>
        <v>0</v>
      </c>
      <c r="J14" s="401"/>
      <c r="K14" s="319">
        <f t="shared" si="1"/>
        <v>1209840.4100000001</v>
      </c>
      <c r="M14" s="320">
        <f t="shared" si="0"/>
        <v>0</v>
      </c>
    </row>
    <row r="15" spans="1:13" x14ac:dyDescent="0.2">
      <c r="A15" s="399">
        <f>'PRES. TOTAL CALENARIZADA 2013'!A18</f>
        <v>1343</v>
      </c>
      <c r="B15" s="400" t="str">
        <f>'PRES. TOTAL CALENARIZADA 2013'!C18</f>
        <v>Compensaciones para material didáctico</v>
      </c>
      <c r="C15" s="401">
        <f>'PRES. TOTAL CALENARIZADA 2013'!D18</f>
        <v>95779.78</v>
      </c>
      <c r="D15" s="252"/>
      <c r="E15" s="405">
        <f>ELECTROMECANICA!E18+ALIMENTARIAS!E18+'INOVACION AGRICOLA'!E18+'SERVICIOS ESCOLARES'!E18+'DESARROLLO ACADEMICO'!E18+VINCULACIÓN!E18+PLANEACION!E18+CALIDAD!E18+'ADMON REC'!E18</f>
        <v>40734.720000000001</v>
      </c>
      <c r="F15" s="406">
        <f>ELECTROMECANICA!F18+ALIMENTARIAS!F18+'INOVACION AGRICOLA'!F18+'SERVICIOS ESCOLARES'!F18+'DESARROLLO ACADEMICO'!F18+VINCULACIÓN!F18+PLANEACION!F18+CALIDAD!F18+'ADMON REC'!F18</f>
        <v>40734.720000000001</v>
      </c>
      <c r="G15" s="406">
        <f>ELECTROMECANICA!G18+ALIMENTARIAS!G18+'INOVACION AGRICOLA'!G18+'SERVICIOS ESCOLARES'!G18+'DESARROLLO ACADEMICO'!G18+VINCULACIÓN!G18+PLANEACION!G18+CALIDAD!G18+'ADMON REC'!G18</f>
        <v>0</v>
      </c>
      <c r="H15" s="406">
        <f>ELECTROMECANICA!H18+ALIMENTARIAS!H18+'INOVACION AGRICOLA'!H18+'SERVICIOS ESCOLARES'!H18+'DESARROLLO ACADEMICO'!H18+VINCULACIÓN!H18+PLANEACION!H18+CALIDAD!H18+'ADMON REC'!H18</f>
        <v>14310.34</v>
      </c>
      <c r="I15" s="431">
        <f>ALIMENTARIAS!I18</f>
        <v>0</v>
      </c>
      <c r="J15" s="401"/>
      <c r="K15" s="319">
        <f t="shared" si="1"/>
        <v>95779.78</v>
      </c>
      <c r="M15" s="320">
        <f t="shared" si="0"/>
        <v>0</v>
      </c>
    </row>
    <row r="16" spans="1:13" ht="14.25" customHeight="1" x14ac:dyDescent="0.2">
      <c r="A16" s="399">
        <f>'PRES. TOTAL CALENARIZADA 2013'!A19</f>
        <v>1411</v>
      </c>
      <c r="B16" s="400" t="str">
        <f>'PRES. TOTAL CALENARIZADA 2013'!C19</f>
        <v>Cuotas al IMSS por enfermedades y maternidad</v>
      </c>
      <c r="C16" s="401">
        <f>'PRES. TOTAL CALENARIZADA 2013'!D19</f>
        <v>737400.64999999991</v>
      </c>
      <c r="D16" s="252"/>
      <c r="E16" s="405">
        <f>ELECTROMECANICA!E19+ALIMENTARIAS!E19+'INOVACION AGRICOLA'!E19+'SERVICIOS ESCOLARES'!E19+'DESARROLLO ACADEMICO'!E19+VINCULACIÓN!E19+PLANEACION!E19+CALIDAD!E19+'ADMON REC'!E19</f>
        <v>322592.28000000003</v>
      </c>
      <c r="F16" s="406">
        <f>ELECTROMECANICA!F19+ALIMENTARIAS!F19+'INOVACION AGRICOLA'!F19+'SERVICIOS ESCOLARES'!F19+'DESARROLLO ACADEMICO'!F19+VINCULACIÓN!F19+PLANEACION!F19+CALIDAD!F19+'ADMON REC'!F19</f>
        <v>322592.28000000003</v>
      </c>
      <c r="G16" s="406">
        <f>ELECTROMECANICA!G19+ALIMENTARIAS!G19+'INOVACION AGRICOLA'!G19+'SERVICIOS ESCOLARES'!G19+'DESARROLLO ACADEMICO'!G19+VINCULACIÓN!G19+PLANEACION!G19+CALIDAD!G19+'ADMON REC'!G19</f>
        <v>0</v>
      </c>
      <c r="H16" s="406">
        <f>ELECTROMECANICA!H19+ALIMENTARIAS!H19+'INOVACION AGRICOLA'!H19+'SERVICIOS ESCOLARES'!H19+'DESARROLLO ACADEMICO'!H19+VINCULACIÓN!H19+PLANEACION!H19+CALIDAD!H19+'ADMON REC'!H19</f>
        <v>92216.09</v>
      </c>
      <c r="I16" s="431">
        <f>ALIMENTARIAS!I19</f>
        <v>0</v>
      </c>
      <c r="J16" s="401"/>
      <c r="K16" s="319">
        <f t="shared" si="1"/>
        <v>737400.65</v>
      </c>
      <c r="M16" s="320">
        <f t="shared" si="0"/>
        <v>0</v>
      </c>
    </row>
    <row r="17" spans="1:14" x14ac:dyDescent="0.2">
      <c r="A17" s="399">
        <f>'PRES. TOTAL CALENARIZADA 2013'!A20</f>
        <v>1421</v>
      </c>
      <c r="B17" s="400" t="str">
        <f>'PRES. TOTAL CALENARIZADA 2013'!C20</f>
        <v>Cuotas para la vivienda</v>
      </c>
      <c r="C17" s="401">
        <f>'PRES. TOTAL CALENARIZADA 2013'!D20</f>
        <v>226181.69000000003</v>
      </c>
      <c r="D17" s="252"/>
      <c r="E17" s="405">
        <f>ELECTROMECANICA!E20+ALIMENTARIAS!E20+'INOVACION AGRICOLA'!E20+'SERVICIOS ESCOLARES'!E20+'DESARROLLO ACADEMICO'!E20+VINCULACIÓN!E20+PLANEACION!E20+CALIDAD!E20+'ADMON REC'!E20</f>
        <v>112127.58</v>
      </c>
      <c r="F17" s="406">
        <f>ELECTROMECANICA!F20+ALIMENTARIAS!F20+'INOVACION AGRICOLA'!F20+'SERVICIOS ESCOLARES'!F20+'DESARROLLO ACADEMICO'!F20+VINCULACIÓN!F20+PLANEACION!F20+CALIDAD!F20+'ADMON REC'!F20</f>
        <v>112127.58</v>
      </c>
      <c r="G17" s="406">
        <f>ELECTROMECANICA!G20+ALIMENTARIAS!G20+'INOVACION AGRICOLA'!G20+'SERVICIOS ESCOLARES'!G20+'DESARROLLO ACADEMICO'!G20+VINCULACIÓN!G20+PLANEACION!G20+CALIDAD!G20+'ADMON REC'!G20</f>
        <v>0</v>
      </c>
      <c r="H17" s="406">
        <f>ELECTROMECANICA!H20+ALIMENTARIAS!H20+'INOVACION AGRICOLA'!H20+'SERVICIOS ESCOLARES'!H20+'DESARROLLO ACADEMICO'!H20+VINCULACIÓN!H20+PLANEACION!H20+CALIDAD!H20+'ADMON REC'!H20</f>
        <v>1926.5299999999997</v>
      </c>
      <c r="I17" s="431">
        <f>ALIMENTARIAS!I20</f>
        <v>0</v>
      </c>
      <c r="J17" s="401"/>
      <c r="K17" s="319">
        <f t="shared" si="1"/>
        <v>226181.69</v>
      </c>
      <c r="M17" s="320">
        <f t="shared" si="0"/>
        <v>0</v>
      </c>
      <c r="N17" s="325"/>
    </row>
    <row r="18" spans="1:14" x14ac:dyDescent="0.2">
      <c r="A18" s="399">
        <f>'PRES. TOTAL CALENARIZADA 2013'!A21</f>
        <v>1431</v>
      </c>
      <c r="B18" s="400" t="str">
        <f>'PRES. TOTAL CALENARIZADA 2013'!C21</f>
        <v>Cuotas a pensiones</v>
      </c>
      <c r="C18" s="401">
        <f>'PRES. TOTAL CALENARIZADA 2013'!D21</f>
        <v>791635.12999999989</v>
      </c>
      <c r="D18" s="252"/>
      <c r="E18" s="405">
        <f>ELECTROMECANICA!E21+ALIMENTARIAS!E21+'INOVACION AGRICOLA'!E21+'SERVICIOS ESCOLARES'!E21+'DESARROLLO ACADEMICO'!E21+VINCULACIÓN!E21+PLANEACION!E21+CALIDAD!E21+'ADMON REC'!E21</f>
        <v>392446.52</v>
      </c>
      <c r="F18" s="406">
        <f>ELECTROMECANICA!F21+ALIMENTARIAS!F21+'INOVACION AGRICOLA'!F21+'SERVICIOS ESCOLARES'!F21+'DESARROLLO ACADEMICO'!F21+VINCULACIÓN!F21+PLANEACION!F21+CALIDAD!F21+'ADMON REC'!F21</f>
        <v>392446.52</v>
      </c>
      <c r="G18" s="406">
        <f>ELECTROMECANICA!G21+ALIMENTARIAS!G21+'INOVACION AGRICOLA'!G21+'SERVICIOS ESCOLARES'!G21+'DESARROLLO ACADEMICO'!G21+VINCULACIÓN!G21+PLANEACION!G21+CALIDAD!G21+'ADMON REC'!G21</f>
        <v>0</v>
      </c>
      <c r="H18" s="406">
        <f>ELECTROMECANICA!H21+ALIMENTARIAS!H21+'INOVACION AGRICOLA'!H21+'SERVICIOS ESCOLARES'!H21+'DESARROLLO ACADEMICO'!H21+VINCULACIÓN!H21+PLANEACION!H21+CALIDAD!H21+'ADMON REC'!H21</f>
        <v>6742.09</v>
      </c>
      <c r="I18" s="431">
        <f>ALIMENTARIAS!I21</f>
        <v>0</v>
      </c>
      <c r="J18" s="401"/>
      <c r="K18" s="319">
        <f t="shared" si="1"/>
        <v>791635.13</v>
      </c>
      <c r="M18" s="320">
        <f t="shared" si="0"/>
        <v>0</v>
      </c>
    </row>
    <row r="19" spans="1:14" ht="22.5" x14ac:dyDescent="0.2">
      <c r="A19" s="399">
        <f>'PRES. TOTAL CALENARIZADA 2013'!A22</f>
        <v>1432</v>
      </c>
      <c r="B19" s="400" t="str">
        <f>'PRES. TOTAL CALENARIZADA 2013'!C22</f>
        <v>Cuotas para el sistema de ahorro para el retiro SAR</v>
      </c>
      <c r="C19" s="401">
        <f>'PRES. TOTAL CALENARIZADA 2013'!D22</f>
        <v>150787.89000000001</v>
      </c>
      <c r="D19" s="252"/>
      <c r="E19" s="405">
        <f>ELECTROMECANICA!E22+ALIMENTARIAS!E22+'INOVACION AGRICOLA'!E22+'SERVICIOS ESCOLARES'!E22+'DESARROLLO ACADEMICO'!E22+VINCULACIÓN!E22+PLANEACION!E22+CALIDAD!E22+'ADMON REC'!E22</f>
        <v>74751.72</v>
      </c>
      <c r="F19" s="406">
        <f>ELECTROMECANICA!F22+ALIMENTARIAS!F22+'INOVACION AGRICOLA'!F22+'SERVICIOS ESCOLARES'!F22+'DESARROLLO ACADEMICO'!F22+VINCULACIÓN!F22+PLANEACION!F22+CALIDAD!F22+'ADMON REC'!F22</f>
        <v>74751.72</v>
      </c>
      <c r="G19" s="406">
        <f>ELECTROMECANICA!G22+ALIMENTARIAS!G22+'INOVACION AGRICOLA'!G22+'SERVICIOS ESCOLARES'!G22+'DESARROLLO ACADEMICO'!G22+VINCULACIÓN!G22+PLANEACION!G22+CALIDAD!G22+'ADMON REC'!G22</f>
        <v>0</v>
      </c>
      <c r="H19" s="406">
        <f>ELECTROMECANICA!H22+ALIMENTARIAS!H22+'INOVACION AGRICOLA'!H22+'SERVICIOS ESCOLARES'!H22+'DESARROLLO ACADEMICO'!H22+VINCULACIÓN!H22+PLANEACION!H22+CALIDAD!H22+'ADMON REC'!H22</f>
        <v>1284.4499999999998</v>
      </c>
      <c r="I19" s="431">
        <f>ALIMENTARIAS!I22</f>
        <v>0</v>
      </c>
      <c r="J19" s="401"/>
      <c r="K19" s="319">
        <f t="shared" si="1"/>
        <v>150787.89000000001</v>
      </c>
      <c r="M19" s="320">
        <f t="shared" si="0"/>
        <v>0</v>
      </c>
    </row>
    <row r="20" spans="1:14" x14ac:dyDescent="0.2">
      <c r="A20" s="399">
        <f>'PRES. TOTAL CALENARIZADA 2013'!A23</f>
        <v>1543</v>
      </c>
      <c r="B20" s="400" t="str">
        <f>'PRES. TOTAL CALENARIZADA 2013'!C23</f>
        <v>Estímulos para el personal</v>
      </c>
      <c r="C20" s="401">
        <f>'PRES. TOTAL CALENARIZADA 2013'!D23</f>
        <v>375842.1</v>
      </c>
      <c r="D20" s="252"/>
      <c r="E20" s="405">
        <f>ELECTROMECANICA!E23+ALIMENTARIAS!E23+'INOVACION AGRICOLA'!E23+'SERVICIOS ESCOLARES'!E23+'DESARROLLO ACADEMICO'!E23+VINCULACIÓN!E23+PLANEACION!E23+CALIDAD!E23+'ADMON REC'!E23</f>
        <v>151458</v>
      </c>
      <c r="F20" s="406">
        <f>ELECTROMECANICA!F23+ALIMENTARIAS!F23+'INOVACION AGRICOLA'!F23+'SERVICIOS ESCOLARES'!F23+'DESARROLLO ACADEMICO'!F23+VINCULACIÓN!F23+PLANEACION!F23+CALIDAD!F23+'ADMON REC'!F23</f>
        <v>151458</v>
      </c>
      <c r="G20" s="406">
        <f>ELECTROMECANICA!G23+ALIMENTARIAS!G23+'INOVACION AGRICOLA'!G23+'SERVICIOS ESCOLARES'!G23+'DESARROLLO ACADEMICO'!G23+VINCULACIÓN!G23+PLANEACION!G23+CALIDAD!G23+'ADMON REC'!G23</f>
        <v>0</v>
      </c>
      <c r="H20" s="406">
        <f>ELECTROMECANICA!H23+ALIMENTARIAS!H23+'INOVACION AGRICOLA'!H23+'SERVICIOS ESCOLARES'!H23+'DESARROLLO ACADEMICO'!H23+VINCULACIÓN!H23+PLANEACION!H23+CALIDAD!H23+'ADMON REC'!H23</f>
        <v>72926.100000000006</v>
      </c>
      <c r="I20" s="431">
        <f>ALIMENTARIAS!I23</f>
        <v>0</v>
      </c>
      <c r="J20" s="401"/>
      <c r="K20" s="319">
        <f t="shared" si="1"/>
        <v>375842.1</v>
      </c>
      <c r="M20" s="320">
        <f t="shared" si="0"/>
        <v>0</v>
      </c>
    </row>
    <row r="21" spans="1:14" x14ac:dyDescent="0.2">
      <c r="A21" s="399">
        <f>'PRES. TOTAL CALENARIZADA 2013'!A24</f>
        <v>1611</v>
      </c>
      <c r="B21" s="400" t="str">
        <f>'PRES. TOTAL CALENARIZADA 2013'!C24</f>
        <v>Impacto al salario</v>
      </c>
      <c r="C21" s="401">
        <f>'PRES. TOTAL CALENARIZADA 2013'!D24</f>
        <v>0</v>
      </c>
      <c r="D21" s="252"/>
      <c r="E21" s="405">
        <f>ELECTROMECANICA!E24+ALIMENTARIAS!E24+'INOVACION AGRICOLA'!E24+'SERVICIOS ESCOLARES'!E24+'DESARROLLO ACADEMICO'!E24+VINCULACIÓN!E24+PLANEACION!E24+CALIDAD!E24+'ADMON REC'!E24</f>
        <v>0</v>
      </c>
      <c r="F21" s="406">
        <f>ELECTROMECANICA!F24+ALIMENTARIAS!F24+'INOVACION AGRICOLA'!F24+'SERVICIOS ESCOLARES'!F24+'DESARROLLO ACADEMICO'!F24+VINCULACIÓN!F24+PLANEACION!F24+CALIDAD!F24+'ADMON REC'!F24</f>
        <v>0</v>
      </c>
      <c r="G21" s="406">
        <f>ELECTROMECANICA!G24+ALIMENTARIAS!G24+'INOVACION AGRICOLA'!G24+'SERVICIOS ESCOLARES'!G24+'DESARROLLO ACADEMICO'!G24+VINCULACIÓN!G24+PLANEACION!G24+CALIDAD!G24+'ADMON REC'!G24</f>
        <v>0</v>
      </c>
      <c r="H21" s="406">
        <f>ELECTROMECANICA!H24+ALIMENTARIAS!H24+'INOVACION AGRICOLA'!H24+'SERVICIOS ESCOLARES'!H24+'DESARROLLO ACADEMICO'!H24+VINCULACIÓN!H24+PLANEACION!H24+CALIDAD!H24+'ADMON REC'!H24</f>
        <v>0</v>
      </c>
      <c r="I21" s="431">
        <f>ALIMENTARIAS!I24</f>
        <v>0</v>
      </c>
      <c r="J21" s="401"/>
      <c r="K21" s="319">
        <f t="shared" si="1"/>
        <v>0</v>
      </c>
      <c r="M21" s="320">
        <f t="shared" si="0"/>
        <v>0</v>
      </c>
    </row>
    <row r="22" spans="1:14" x14ac:dyDescent="0.2">
      <c r="A22" s="399">
        <f>'PRES. TOTAL CALENARIZADA 2013'!A25</f>
        <v>1715</v>
      </c>
      <c r="B22" s="400" t="str">
        <f>'PRES. TOTAL CALENARIZADA 2013'!C25</f>
        <v>Estímulo por el día del servidor público</v>
      </c>
      <c r="C22" s="401">
        <f>'PRES. TOTAL CALENARIZADA 2013'!D25</f>
        <v>193931.22</v>
      </c>
      <c r="D22" s="252"/>
      <c r="E22" s="405">
        <f>ELECTROMECANICA!E25+ALIMENTARIAS!E25+'INOVACION AGRICOLA'!E25+'SERVICIOS ESCOLARES'!E25+'DESARROLLO ACADEMICO'!E25+VINCULACIÓN!E25+PLANEACION!E25+CALIDAD!E25+'ADMON REC'!E25</f>
        <v>193931.22</v>
      </c>
      <c r="F22" s="406">
        <f>ELECTROMECANICA!F25+ALIMENTARIAS!F25+'INOVACION AGRICOLA'!F25+'SERVICIOS ESCOLARES'!F25+'DESARROLLO ACADEMICO'!F25+VINCULACIÓN!F25+PLANEACION!F25+CALIDAD!F25+'ADMON REC'!F25</f>
        <v>0</v>
      </c>
      <c r="G22" s="406">
        <f>ELECTROMECANICA!G25+ALIMENTARIAS!G25+'INOVACION AGRICOLA'!G25+'SERVICIOS ESCOLARES'!G25+'DESARROLLO ACADEMICO'!G25+VINCULACIÓN!G25+PLANEACION!G25+CALIDAD!G25+'ADMON REC'!G25</f>
        <v>0</v>
      </c>
      <c r="H22" s="406">
        <f>ELECTROMECANICA!H25+ALIMENTARIAS!H25+'INOVACION AGRICOLA'!H25+'SERVICIOS ESCOLARES'!H25+'DESARROLLO ACADEMICO'!H25+VINCULACIÓN!H25+PLANEACION!H25+CALIDAD!H25+'ADMON REC'!H25</f>
        <v>0</v>
      </c>
      <c r="I22" s="431">
        <f>ALIMENTARIAS!I25</f>
        <v>0</v>
      </c>
      <c r="J22" s="401"/>
      <c r="K22" s="319">
        <f t="shared" si="1"/>
        <v>193931.22</v>
      </c>
      <c r="M22" s="320">
        <f t="shared" si="0"/>
        <v>0</v>
      </c>
    </row>
    <row r="23" spans="1:14" x14ac:dyDescent="0.2">
      <c r="A23" s="399">
        <f>'PRES. TOTAL CALENARIZADA 2013'!A26</f>
        <v>1719</v>
      </c>
      <c r="B23" s="400" t="str">
        <f>'PRES. TOTAL CALENARIZADA 2013'!C26</f>
        <v>Otros Estímulos</v>
      </c>
      <c r="C23" s="401">
        <f>'PRES. TOTAL CALENARIZADA 2013'!D26</f>
        <v>793934.4</v>
      </c>
      <c r="D23" s="252"/>
      <c r="E23" s="405">
        <f>ELECTROMECANICA!E26+ALIMENTARIAS!E26+'INOVACION AGRICOLA'!E26+'SERVICIOS ESCOLARES'!E26+'DESARROLLO ACADEMICO'!E26+VINCULACIÓN!E26+PLANEACION!E26+CALIDAD!E26+'ADMON REC'!E26</f>
        <v>404983.2</v>
      </c>
      <c r="F23" s="406">
        <f>ELECTROMECANICA!F26+ALIMENTARIAS!F26+'INOVACION AGRICOLA'!F26+'SERVICIOS ESCOLARES'!F26+'DESARROLLO ACADEMICO'!F26+VINCULACIÓN!F26+PLANEACION!F26+CALIDAD!F26+'ADMON REC'!F26</f>
        <v>388951.2</v>
      </c>
      <c r="G23" s="406">
        <f>ELECTROMECANICA!G26+ALIMENTARIAS!G26+'INOVACION AGRICOLA'!G26+'SERVICIOS ESCOLARES'!G26+'DESARROLLO ACADEMICO'!G26+VINCULACIÓN!G26+PLANEACION!G26+CALIDAD!G26+'ADMON REC'!G26</f>
        <v>0</v>
      </c>
      <c r="H23" s="406">
        <f>ELECTROMECANICA!H26+ALIMENTARIAS!H26+'INOVACION AGRICOLA'!H26+'SERVICIOS ESCOLARES'!H26+'DESARROLLO ACADEMICO'!H26+VINCULACIÓN!H26+PLANEACION!H26+CALIDAD!H26+'ADMON REC'!H26</f>
        <v>0</v>
      </c>
      <c r="I23" s="431">
        <f>ALIMENTARIAS!I26</f>
        <v>0</v>
      </c>
      <c r="J23" s="401"/>
      <c r="K23" s="319">
        <f t="shared" si="1"/>
        <v>793934.4</v>
      </c>
      <c r="M23" s="320">
        <f t="shared" si="0"/>
        <v>0</v>
      </c>
    </row>
    <row r="24" spans="1:14" ht="13.5" thickBot="1" x14ac:dyDescent="0.25">
      <c r="A24" s="402">
        <f>'PRES. TOTAL CALENARIZADA 2013'!A27</f>
        <v>1712</v>
      </c>
      <c r="B24" s="403" t="str">
        <f>'PRES. TOTAL CALENARIZADA 2013'!C27</f>
        <v>Ayuda para despensa</v>
      </c>
      <c r="C24" s="404">
        <f>'PRES. TOTAL CALENARIZADA 2013'!D27</f>
        <v>527849.28000000014</v>
      </c>
      <c r="D24" s="252"/>
      <c r="E24" s="407">
        <f>ELECTROMECANICA!E27+ALIMENTARIAS!E27+'INOVACION AGRICOLA'!E27+'SERVICIOS ESCOLARES'!E27+'DESARROLLO ACADEMICO'!E27+VINCULACIÓN!E27+PLANEACION!E27+CALIDAD!E27+'ADMON REC'!E27</f>
        <v>270582.53000000003</v>
      </c>
      <c r="F24" s="408">
        <f>ELECTROMECANICA!F27+ALIMENTARIAS!F27+'INOVACION AGRICOLA'!F27+'SERVICIOS ESCOLARES'!F27+'DESARROLLO ACADEMICO'!F27+VINCULACIÓN!F27+PLANEACION!F27+CALIDAD!F27+'ADMON REC'!F27</f>
        <v>248022.53</v>
      </c>
      <c r="G24" s="408">
        <f>ELECTROMECANICA!G27+ALIMENTARIAS!G27+'INOVACION AGRICOLA'!G27+'SERVICIOS ESCOLARES'!G27+'DESARROLLO ACADEMICO'!G27+VINCULACIÓN!G27+PLANEACION!G27+CALIDAD!G27+'ADMON REC'!G27</f>
        <v>0</v>
      </c>
      <c r="H24" s="408">
        <f>ELECTROMECANICA!H27+ALIMENTARIAS!H27+'INOVACION AGRICOLA'!H27+'SERVICIOS ESCOLARES'!H27+'DESARROLLO ACADEMICO'!H27+VINCULACIÓN!H27+PLANEACION!H27+CALIDAD!H27+'ADMON REC'!H27</f>
        <v>9244.2199999999993</v>
      </c>
      <c r="I24" s="432">
        <f>ALIMENTARIAS!I27</f>
        <v>0</v>
      </c>
      <c r="J24" s="404"/>
      <c r="K24" s="321">
        <f t="shared" si="1"/>
        <v>527849.28</v>
      </c>
      <c r="M24" s="322">
        <f t="shared" si="0"/>
        <v>0</v>
      </c>
    </row>
    <row r="25" spans="1:14" s="274" customFormat="1" ht="20.25" customHeight="1" thickBot="1" x14ac:dyDescent="0.25">
      <c r="A25" s="273"/>
      <c r="B25" s="299" t="s">
        <v>241</v>
      </c>
      <c r="C25" s="300">
        <f>SUM(C10:C24)</f>
        <v>14527911.48</v>
      </c>
      <c r="D25" s="301"/>
      <c r="E25" s="300">
        <f t="shared" ref="E25:J25" si="2">SUM(E10:E24)</f>
        <v>7027311.4100000001</v>
      </c>
      <c r="F25" s="300">
        <f t="shared" si="2"/>
        <v>6582741.5300000003</v>
      </c>
      <c r="G25" s="300">
        <f t="shared" si="2"/>
        <v>49000</v>
      </c>
      <c r="H25" s="300">
        <f t="shared" si="2"/>
        <v>868858.5399999998</v>
      </c>
      <c r="I25" s="300">
        <f t="shared" si="2"/>
        <v>0</v>
      </c>
      <c r="J25" s="300">
        <f t="shared" si="2"/>
        <v>0</v>
      </c>
      <c r="K25" s="323"/>
      <c r="L25" s="324"/>
      <c r="M25" s="323"/>
      <c r="N25" s="427"/>
    </row>
    <row r="26" spans="1:14" ht="22.5" x14ac:dyDescent="0.2">
      <c r="A26" s="409">
        <f>'PRES. TOTAL CALENARIZADA 2013'!A29</f>
        <v>2111</v>
      </c>
      <c r="B26" s="410" t="str">
        <f>'PRES. TOTAL CALENARIZADA 2013'!C29</f>
        <v>Materiales útiles y equipos menores de oficina</v>
      </c>
      <c r="C26" s="411">
        <f>'PRES. TOTAL CALENARIZADA 2013'!D29</f>
        <v>100000</v>
      </c>
      <c r="D26" s="252"/>
      <c r="E26" s="412">
        <f>ELECTROMECANICA!E29+ALIMENTARIAS!E29+'INOVACION AGRICOLA'!E29+'SERVICIOS ESCOLARES'!E29+'DESARROLLO ACADEMICO'!E29+VINCULACIÓN!E29+PLANEACION!E29+CALIDAD!E29+'ADMON REC'!E29</f>
        <v>40000</v>
      </c>
      <c r="F26" s="413">
        <f>ELECTROMECANICA!F29+ALIMENTARIAS!F29+'INOVACION AGRICOLA'!F29+'SERVICIOS ESCOLARES'!F29+'DESARROLLO ACADEMICO'!F29+VINCULACIÓN!F29+PLANEACION!F29+CALIDAD!F29+'ADMON REC'!F29</f>
        <v>40000</v>
      </c>
      <c r="G26" s="413">
        <f>ELECTROMECANICA!G29+ALIMENTARIAS!G29+'INOVACION AGRICOLA'!G29+'SERVICIOS ESCOLARES'!G29+'DESARROLLO ACADEMICO'!G29+VINCULACIÓN!G29+PLANEACION!G29+CALIDAD!G29+'ADMON REC'!G29</f>
        <v>0</v>
      </c>
      <c r="H26" s="413">
        <f>ELECTROMECANICA!H29+ALIMENTARIAS!H29+'INOVACION AGRICOLA'!H29+'SERVICIOS ESCOLARES'!H29+'DESARROLLO ACADEMICO'!H29+VINCULACIÓN!H29+PLANEACION!H29+CALIDAD!H29+'ADMON REC'!H29</f>
        <v>20000</v>
      </c>
      <c r="I26" s="413">
        <f>ALIMENTARIAS!I29</f>
        <v>0</v>
      </c>
      <c r="J26" s="411"/>
      <c r="K26" s="317">
        <f>E26+F26+G26+H26+I26</f>
        <v>100000</v>
      </c>
      <c r="M26" s="318">
        <f t="shared" ref="M26:M63" si="3">C26-K26</f>
        <v>0</v>
      </c>
    </row>
    <row r="27" spans="1:14" ht="22.5" x14ac:dyDescent="0.2">
      <c r="A27" s="399">
        <f>'PRES. TOTAL CALENARIZADA 2013'!A30</f>
        <v>2121</v>
      </c>
      <c r="B27" s="400" t="str">
        <f>'PRES. TOTAL CALENARIZADA 2013'!C30</f>
        <v>Materiales y ùtiles de impresion y reproducción</v>
      </c>
      <c r="C27" s="401">
        <f>'PRES. TOTAL CALENARIZADA 2013'!D30</f>
        <v>9000</v>
      </c>
      <c r="D27" s="252"/>
      <c r="E27" s="405">
        <f>ELECTROMECANICA!E30+ALIMENTARIAS!E30+'INOVACION AGRICOLA'!E30+'SERVICIOS ESCOLARES'!E30+'DESARROLLO ACADEMICO'!E30+VINCULACIÓN!E30+PLANEACION!E30+CALIDAD!E30+'ADMON REC'!E30</f>
        <v>4500</v>
      </c>
      <c r="F27" s="406">
        <f>ELECTROMECANICA!F30+ALIMENTARIAS!F30+'INOVACION AGRICOLA'!F30+'SERVICIOS ESCOLARES'!F30+'DESARROLLO ACADEMICO'!F30+VINCULACIÓN!F30+PLANEACION!F30+CALIDAD!F30+'ADMON REC'!F30</f>
        <v>4500</v>
      </c>
      <c r="G27" s="406">
        <f>ELECTROMECANICA!G30+ALIMENTARIAS!G30+'INOVACION AGRICOLA'!G30+'SERVICIOS ESCOLARES'!G30+'DESARROLLO ACADEMICO'!G30+VINCULACIÓN!G30+PLANEACION!G30+CALIDAD!G30+'ADMON REC'!G30</f>
        <v>0</v>
      </c>
      <c r="H27" s="406">
        <f>ELECTROMECANICA!H30+ALIMENTARIAS!H30+'INOVACION AGRICOLA'!H30+'SERVICIOS ESCOLARES'!H30+'DESARROLLO ACADEMICO'!H30+VINCULACIÓN!H30+PLANEACION!H30+CALIDAD!H30+'ADMON REC'!H30</f>
        <v>0</v>
      </c>
      <c r="I27" s="406">
        <f>ALIMENTARIAS!I30</f>
        <v>0</v>
      </c>
      <c r="J27" s="401"/>
      <c r="K27" s="319">
        <f t="shared" ref="K27:K90" si="4">E27+F27+G27+H27+I27</f>
        <v>9000</v>
      </c>
      <c r="M27" s="320">
        <f t="shared" si="3"/>
        <v>0</v>
      </c>
    </row>
    <row r="28" spans="1:14" ht="33.75" x14ac:dyDescent="0.2">
      <c r="A28" s="399">
        <f>'PRES. TOTAL CALENARIZADA 2013'!A31</f>
        <v>2141</v>
      </c>
      <c r="B28" s="400" t="str">
        <f>'PRES. TOTAL CALENARIZADA 2013'!C31</f>
        <v>Materiales, útiles y equipos menores de tecnologías de la información y
comunicación</v>
      </c>
      <c r="C28" s="401">
        <f>'PRES. TOTAL CALENARIZADA 2013'!D31</f>
        <v>114000</v>
      </c>
      <c r="D28" s="252"/>
      <c r="E28" s="405">
        <f>ELECTROMECANICA!E31+ALIMENTARIAS!E31+'INOVACION AGRICOLA'!E31+'SERVICIOS ESCOLARES'!E31+'DESARROLLO ACADEMICO'!E31+VINCULACIÓN!E31+PLANEACION!E31+CALIDAD!E31+'ADMON REC'!E31</f>
        <v>43000</v>
      </c>
      <c r="F28" s="406">
        <f>ELECTROMECANICA!F31+ALIMENTARIAS!F31+'INOVACION AGRICOLA'!F31+'SERVICIOS ESCOLARES'!F31+'DESARROLLO ACADEMICO'!F31+VINCULACIÓN!F31+PLANEACION!F31+CALIDAD!F31+'ADMON REC'!F31</f>
        <v>43000</v>
      </c>
      <c r="G28" s="406">
        <f>ELECTROMECANICA!G31+ALIMENTARIAS!G31+'INOVACION AGRICOLA'!G31+'SERVICIOS ESCOLARES'!G31+'DESARROLLO ACADEMICO'!G31+VINCULACIÓN!G31+PLANEACION!G31+CALIDAD!G31+'ADMON REC'!G31</f>
        <v>0</v>
      </c>
      <c r="H28" s="406">
        <f>ELECTROMECANICA!H31+ALIMENTARIAS!H31+'INOVACION AGRICOLA'!H31+'SERVICIOS ESCOLARES'!H31+'DESARROLLO ACADEMICO'!H31+VINCULACIÓN!H31+PLANEACION!H31+CALIDAD!H31+'ADMON REC'!H31</f>
        <v>28000</v>
      </c>
      <c r="I28" s="406">
        <f>ALIMENTARIAS!I31</f>
        <v>0</v>
      </c>
      <c r="J28" s="401"/>
      <c r="K28" s="319">
        <f t="shared" si="4"/>
        <v>114000</v>
      </c>
      <c r="M28" s="320">
        <f t="shared" si="3"/>
        <v>0</v>
      </c>
    </row>
    <row r="29" spans="1:14" x14ac:dyDescent="0.2">
      <c r="A29" s="399">
        <f>'PRES. TOTAL CALENARIZADA 2013'!A32</f>
        <v>2151</v>
      </c>
      <c r="B29" s="400" t="str">
        <f>'PRES. TOTAL CALENARIZADA 2013'!C32</f>
        <v>Material impreso e información digital</v>
      </c>
      <c r="C29" s="401">
        <f>'PRES. TOTAL CALENARIZADA 2013'!D32</f>
        <v>409011.26</v>
      </c>
      <c r="D29" s="252"/>
      <c r="E29" s="405">
        <f>ELECTROMECANICA!E32+ALIMENTARIAS!E32+'INOVACION AGRICOLA'!E32+'SERVICIOS ESCOLARES'!E32+'DESARROLLO ACADEMICO'!E32+VINCULACIÓN!E32+PLANEACION!E32+CALIDAD!E32+'ADMON REC'!E32</f>
        <v>0</v>
      </c>
      <c r="F29" s="406">
        <f>ELECTROMECANICA!F32+ALIMENTARIAS!F32+'INOVACION AGRICOLA'!F32+'SERVICIOS ESCOLARES'!F32+'DESARROLLO ACADEMICO'!F32+VINCULACIÓN!F32+PLANEACION!F32+CALIDAD!F32+'ADMON REC'!F32</f>
        <v>0</v>
      </c>
      <c r="G29" s="406">
        <f>ELECTROMECANICA!G32+ALIMENTARIAS!G32+'INOVACION AGRICOLA'!G32+'SERVICIOS ESCOLARES'!G32+'DESARROLLO ACADEMICO'!G32+VINCULACIÓN!G32+PLANEACION!G32+CALIDAD!G32+'ADMON REC'!G32</f>
        <v>0</v>
      </c>
      <c r="H29" s="406">
        <f>ELECTROMECANICA!H32+ALIMENTARIAS!H32+'INOVACION AGRICOLA'!H32+'SERVICIOS ESCOLARES'!H32+'DESARROLLO ACADEMICO'!H32+VINCULACIÓN!H32+PLANEACION!H32+CALIDAD!H32+'ADMON REC'!H32</f>
        <v>409011.25999999995</v>
      </c>
      <c r="I29" s="406">
        <f>ALIMENTARIAS!I32</f>
        <v>0</v>
      </c>
      <c r="J29" s="401"/>
      <c r="K29" s="319">
        <f t="shared" si="4"/>
        <v>409011.25999999995</v>
      </c>
      <c r="M29" s="320">
        <f t="shared" si="3"/>
        <v>0</v>
      </c>
    </row>
    <row r="30" spans="1:14" x14ac:dyDescent="0.2">
      <c r="A30" s="399">
        <f>'PRES. TOTAL CALENARIZADA 2013'!A33</f>
        <v>2161</v>
      </c>
      <c r="B30" s="400" t="str">
        <f>'PRES. TOTAL CALENARIZADA 2013'!C33</f>
        <v>Material de limpieza</v>
      </c>
      <c r="C30" s="401">
        <f>'PRES. TOTAL CALENARIZADA 2013'!D33</f>
        <v>60000</v>
      </c>
      <c r="D30" s="252"/>
      <c r="E30" s="405">
        <f>ELECTROMECANICA!E33+ALIMENTARIAS!E33+'INOVACION AGRICOLA'!E33+'SERVICIOS ESCOLARES'!E33+'DESARROLLO ACADEMICO'!E33+VINCULACIÓN!E33+PLANEACION!E33+CALIDAD!E33+'ADMON REC'!E33</f>
        <v>30000</v>
      </c>
      <c r="F30" s="406">
        <f>ELECTROMECANICA!F33+ALIMENTARIAS!F33+'INOVACION AGRICOLA'!F33+'SERVICIOS ESCOLARES'!F33+'DESARROLLO ACADEMICO'!F33+VINCULACIÓN!F33+PLANEACION!F33+CALIDAD!F33+'ADMON REC'!F33</f>
        <v>30000</v>
      </c>
      <c r="G30" s="406">
        <f>ELECTROMECANICA!G33+ALIMENTARIAS!G33+'INOVACION AGRICOLA'!G33+'SERVICIOS ESCOLARES'!G33+'DESARROLLO ACADEMICO'!G33+VINCULACIÓN!G33+PLANEACION!G33+CALIDAD!G33+'ADMON REC'!G33</f>
        <v>0</v>
      </c>
      <c r="H30" s="406">
        <f>ELECTROMECANICA!H33+ALIMENTARIAS!H33+'INOVACION AGRICOLA'!H33+'SERVICIOS ESCOLARES'!H33+'DESARROLLO ACADEMICO'!H33+VINCULACIÓN!H33+PLANEACION!H33+CALIDAD!H33+'ADMON REC'!H33</f>
        <v>0</v>
      </c>
      <c r="I30" s="406">
        <f>ALIMENTARIAS!I33</f>
        <v>0</v>
      </c>
      <c r="J30" s="401"/>
      <c r="K30" s="319">
        <f t="shared" si="4"/>
        <v>60000</v>
      </c>
      <c r="M30" s="320">
        <f t="shared" si="3"/>
        <v>0</v>
      </c>
    </row>
    <row r="31" spans="1:14" x14ac:dyDescent="0.2">
      <c r="A31" s="399">
        <f>'PRES. TOTAL CALENARIZADA 2013'!A34</f>
        <v>2171</v>
      </c>
      <c r="B31" s="400" t="str">
        <f>'PRES. TOTAL CALENARIZADA 2013'!C34</f>
        <v>Material didactico</v>
      </c>
      <c r="C31" s="401">
        <f>'PRES. TOTAL CALENARIZADA 2013'!D34</f>
        <v>8000</v>
      </c>
      <c r="D31" s="252"/>
      <c r="E31" s="405">
        <f>ELECTROMECANICA!E34+ALIMENTARIAS!E34+'INOVACION AGRICOLA'!E34+'SERVICIOS ESCOLARES'!E34+'DESARROLLO ACADEMICO'!E34+VINCULACIÓN!E34+PLANEACION!E34+CALIDAD!E34+'ADMON REC'!E34</f>
        <v>4000</v>
      </c>
      <c r="F31" s="406">
        <f>ELECTROMECANICA!F34+ALIMENTARIAS!F34+'INOVACION AGRICOLA'!F34+'SERVICIOS ESCOLARES'!F34+'DESARROLLO ACADEMICO'!F34+VINCULACIÓN!F34+PLANEACION!F34+CALIDAD!F34+'ADMON REC'!F34</f>
        <v>4000</v>
      </c>
      <c r="G31" s="406">
        <f>ELECTROMECANICA!G34+ALIMENTARIAS!G34+'INOVACION AGRICOLA'!G34+'SERVICIOS ESCOLARES'!G34+'DESARROLLO ACADEMICO'!G34+VINCULACIÓN!G34+PLANEACION!G34+CALIDAD!G34+'ADMON REC'!G34</f>
        <v>0</v>
      </c>
      <c r="H31" s="406">
        <f>ELECTROMECANICA!H34+ALIMENTARIAS!H34+'INOVACION AGRICOLA'!H34+'SERVICIOS ESCOLARES'!H34+'DESARROLLO ACADEMICO'!H34+VINCULACIÓN!H34+PLANEACION!H34+CALIDAD!H34+'ADMON REC'!H34</f>
        <v>0</v>
      </c>
      <c r="I31" s="406">
        <f>ALIMENTARIAS!I34</f>
        <v>0</v>
      </c>
      <c r="J31" s="401"/>
      <c r="K31" s="319">
        <f t="shared" si="4"/>
        <v>8000</v>
      </c>
      <c r="M31" s="320">
        <f t="shared" si="3"/>
        <v>0</v>
      </c>
    </row>
    <row r="32" spans="1:14" ht="24" customHeight="1" x14ac:dyDescent="0.2">
      <c r="A32" s="399">
        <f>'PRES. TOTAL CALENARIZADA 2013'!A35</f>
        <v>2211</v>
      </c>
      <c r="B32" s="400" t="str">
        <f>'PRES. TOTAL CALENARIZADA 2013'!C35</f>
        <v>Alimentación para servidores públicos estatales</v>
      </c>
      <c r="C32" s="401">
        <f>'PRES. TOTAL CALENARIZADA 2013'!D35</f>
        <v>70000</v>
      </c>
      <c r="D32" s="252"/>
      <c r="E32" s="405">
        <f>ELECTROMECANICA!E35+ALIMENTARIAS!E35+'INOVACION AGRICOLA'!E35+'SERVICIOS ESCOLARES'!E35+'DESARROLLO ACADEMICO'!E35+VINCULACIÓN!E35+PLANEACION!E35+CALIDAD!E35+'ADMON REC'!E35</f>
        <v>25000</v>
      </c>
      <c r="F32" s="406">
        <f>ELECTROMECANICA!F35+ALIMENTARIAS!F35+'INOVACION AGRICOLA'!F35+'SERVICIOS ESCOLARES'!F35+'DESARROLLO ACADEMICO'!F35+VINCULACIÓN!F35+PLANEACION!F35+CALIDAD!F35+'ADMON REC'!F35</f>
        <v>25000</v>
      </c>
      <c r="G32" s="406">
        <f>ELECTROMECANICA!G35+ALIMENTARIAS!G35+'INOVACION AGRICOLA'!G35+'SERVICIOS ESCOLARES'!G35+'DESARROLLO ACADEMICO'!G35+VINCULACIÓN!G35+PLANEACION!G35+CALIDAD!G35+'ADMON REC'!G35</f>
        <v>10000</v>
      </c>
      <c r="H32" s="406">
        <f>ELECTROMECANICA!H35+ALIMENTARIAS!H35+'INOVACION AGRICOLA'!H35+'SERVICIOS ESCOLARES'!H35+'DESARROLLO ACADEMICO'!H35+VINCULACIÓN!H35+PLANEACION!H35+CALIDAD!H35+'ADMON REC'!H35</f>
        <v>10000</v>
      </c>
      <c r="I32" s="406">
        <f>ALIMENTARIAS!I35</f>
        <v>0</v>
      </c>
      <c r="J32" s="401"/>
      <c r="K32" s="319">
        <f t="shared" si="4"/>
        <v>70000</v>
      </c>
      <c r="M32" s="320">
        <f t="shared" si="3"/>
        <v>0</v>
      </c>
    </row>
    <row r="33" spans="1:13" x14ac:dyDescent="0.2">
      <c r="A33" s="399">
        <f>'PRES. TOTAL CALENARIZADA 2013'!A36</f>
        <v>2221</v>
      </c>
      <c r="B33" s="400" t="str">
        <f>'PRES. TOTAL CALENARIZADA 2013'!C36</f>
        <v>Alimentación de animales</v>
      </c>
      <c r="C33" s="401">
        <f>'PRES. TOTAL CALENARIZADA 2013'!D36</f>
        <v>6000</v>
      </c>
      <c r="D33" s="252"/>
      <c r="E33" s="405">
        <f>ELECTROMECANICA!E36+ALIMENTARIAS!E36+'INOVACION AGRICOLA'!E36+'SERVICIOS ESCOLARES'!E36+'DESARROLLO ACADEMICO'!E36+VINCULACIÓN!E36+PLANEACION!E36+CALIDAD!E36+'ADMON REC'!E36</f>
        <v>2000</v>
      </c>
      <c r="F33" s="406">
        <f>ELECTROMECANICA!F36+ALIMENTARIAS!F36+'INOVACION AGRICOLA'!F36+'SERVICIOS ESCOLARES'!F36+'DESARROLLO ACADEMICO'!F36+VINCULACIÓN!F36+PLANEACION!F36+CALIDAD!F36+'ADMON REC'!F36</f>
        <v>2000</v>
      </c>
      <c r="G33" s="406">
        <f>ELECTROMECANICA!G36+ALIMENTARIAS!G36+'INOVACION AGRICOLA'!G36+'SERVICIOS ESCOLARES'!G36+'DESARROLLO ACADEMICO'!G36+VINCULACIÓN!G36+PLANEACION!G36+CALIDAD!G36+'ADMON REC'!G36</f>
        <v>0</v>
      </c>
      <c r="H33" s="406">
        <f>ELECTROMECANICA!H36+ALIMENTARIAS!H36+'INOVACION AGRICOLA'!H36+'SERVICIOS ESCOLARES'!H36+'DESARROLLO ACADEMICO'!H36+VINCULACIÓN!H36+PLANEACION!H36+CALIDAD!H36+'ADMON REC'!H36</f>
        <v>2000</v>
      </c>
      <c r="I33" s="406">
        <f>ALIMENTARIAS!I36</f>
        <v>0</v>
      </c>
      <c r="J33" s="401"/>
      <c r="K33" s="319">
        <f t="shared" si="4"/>
        <v>6000</v>
      </c>
      <c r="M33" s="320">
        <f t="shared" si="3"/>
        <v>0</v>
      </c>
    </row>
    <row r="34" spans="1:13" ht="22.5" x14ac:dyDescent="0.2">
      <c r="A34" s="399">
        <f>'PRES. TOTAL CALENARIZADA 2013'!A37</f>
        <v>2231</v>
      </c>
      <c r="B34" s="400" t="str">
        <f>'PRES. TOTAL CALENARIZADA 2013'!C37</f>
        <v>Utensilios para el servicio de alimentación</v>
      </c>
      <c r="C34" s="401">
        <f>'PRES. TOTAL CALENARIZADA 2013'!D37</f>
        <v>17128.190000000002</v>
      </c>
      <c r="D34" s="252"/>
      <c r="E34" s="405">
        <f>ELECTROMECANICA!E37+ALIMENTARIAS!E37+'INOVACION AGRICOLA'!E37+'SERVICIOS ESCOLARES'!E37+'DESARROLLO ACADEMICO'!E37+VINCULACIÓN!E37+PLANEACION!E37+CALIDAD!E37+'ADMON REC'!E37</f>
        <v>5500</v>
      </c>
      <c r="F34" s="406">
        <f>ELECTROMECANICA!F37+ALIMENTARIAS!F37+'INOVACION AGRICOLA'!F37+'SERVICIOS ESCOLARES'!F37+'DESARROLLO ACADEMICO'!F37+VINCULACIÓN!F37+PLANEACION!F37+CALIDAD!F37+'ADMON REC'!F37</f>
        <v>5500</v>
      </c>
      <c r="G34" s="406">
        <f>ELECTROMECANICA!G37+ALIMENTARIAS!G37+'INOVACION AGRICOLA'!G37+'SERVICIOS ESCOLARES'!G37+'DESARROLLO ACADEMICO'!G37+VINCULACIÓN!G37+PLANEACION!G37+CALIDAD!G37+'ADMON REC'!G37</f>
        <v>0</v>
      </c>
      <c r="H34" s="406">
        <f>ELECTROMECANICA!H37+ALIMENTARIAS!H37+'INOVACION AGRICOLA'!H37+'SERVICIOS ESCOLARES'!H37+'DESARROLLO ACADEMICO'!H37+VINCULACIÓN!H37+PLANEACION!H37+CALIDAD!H37+'ADMON REC'!H37</f>
        <v>5000</v>
      </c>
      <c r="I34" s="406">
        <f>ALIMENTARIAS!I37</f>
        <v>1128.19</v>
      </c>
      <c r="J34" s="401"/>
      <c r="K34" s="319">
        <f t="shared" si="4"/>
        <v>17128.189999999999</v>
      </c>
      <c r="M34" s="320">
        <f t="shared" si="3"/>
        <v>0</v>
      </c>
    </row>
    <row r="35" spans="1:13" x14ac:dyDescent="0.2">
      <c r="A35" s="399">
        <f>'PRES. TOTAL CALENARIZADA 2013'!A38</f>
        <v>2411</v>
      </c>
      <c r="B35" s="400" t="str">
        <f>'PRES. TOTAL CALENARIZADA 2013'!C38</f>
        <v>Productos minerales no metálicos</v>
      </c>
      <c r="C35" s="401">
        <f>'PRES. TOTAL CALENARIZADA 2013'!D38</f>
        <v>9000</v>
      </c>
      <c r="D35" s="252"/>
      <c r="E35" s="405">
        <f>ELECTROMECANICA!E38+ALIMENTARIAS!E38+'INOVACION AGRICOLA'!E38+'SERVICIOS ESCOLARES'!E38+'DESARROLLO ACADEMICO'!E38+VINCULACIÓN!E38+PLANEACION!E38+CALIDAD!E38+'ADMON REC'!E38</f>
        <v>1000</v>
      </c>
      <c r="F35" s="406">
        <f>ELECTROMECANICA!F38+ALIMENTARIAS!F38+'INOVACION AGRICOLA'!F38+'SERVICIOS ESCOLARES'!F38+'DESARROLLO ACADEMICO'!F38+VINCULACIÓN!F38+PLANEACION!F38+CALIDAD!F38+'ADMON REC'!F38</f>
        <v>8000</v>
      </c>
      <c r="G35" s="406">
        <f>ELECTROMECANICA!G38+ALIMENTARIAS!G38+'INOVACION AGRICOLA'!G38+'SERVICIOS ESCOLARES'!G38+'DESARROLLO ACADEMICO'!G38+VINCULACIÓN!G38+PLANEACION!G38+CALIDAD!G38+'ADMON REC'!G38</f>
        <v>0</v>
      </c>
      <c r="H35" s="406">
        <f>ELECTROMECANICA!H38+ALIMENTARIAS!H38+'INOVACION AGRICOLA'!H38+'SERVICIOS ESCOLARES'!H38+'DESARROLLO ACADEMICO'!H38+VINCULACIÓN!H38+PLANEACION!H38+CALIDAD!H38+'ADMON REC'!H38</f>
        <v>0</v>
      </c>
      <c r="I35" s="406">
        <f>ALIMENTARIAS!I38</f>
        <v>0</v>
      </c>
      <c r="J35" s="401"/>
      <c r="K35" s="319">
        <f t="shared" si="4"/>
        <v>9000</v>
      </c>
      <c r="M35" s="320">
        <f t="shared" si="3"/>
        <v>0</v>
      </c>
    </row>
    <row r="36" spans="1:13" x14ac:dyDescent="0.2">
      <c r="A36" s="399">
        <f>'PRES. TOTAL CALENARIZADA 2013'!A39</f>
        <v>2421</v>
      </c>
      <c r="B36" s="400" t="str">
        <f>'PRES. TOTAL CALENARIZADA 2013'!C39</f>
        <v>Cemento y productos de concreto</v>
      </c>
      <c r="C36" s="401">
        <f>'PRES. TOTAL CALENARIZADA 2013'!D39</f>
        <v>2000</v>
      </c>
      <c r="D36" s="252"/>
      <c r="E36" s="405">
        <f>ELECTROMECANICA!E39+ALIMENTARIAS!E39+'INOVACION AGRICOLA'!E39+'SERVICIOS ESCOLARES'!E39+'DESARROLLO ACADEMICO'!E39+VINCULACIÓN!E39+PLANEACION!E39+CALIDAD!E39+'ADMON REC'!E39</f>
        <v>1000</v>
      </c>
      <c r="F36" s="406">
        <f>ELECTROMECANICA!F39+ALIMENTARIAS!F39+'INOVACION AGRICOLA'!F39+'SERVICIOS ESCOLARES'!F39+'DESARROLLO ACADEMICO'!F39+VINCULACIÓN!F39+PLANEACION!F39+CALIDAD!F39+'ADMON REC'!F39</f>
        <v>1000</v>
      </c>
      <c r="G36" s="406">
        <f>ELECTROMECANICA!G39+ALIMENTARIAS!G39+'INOVACION AGRICOLA'!G39+'SERVICIOS ESCOLARES'!G39+'DESARROLLO ACADEMICO'!G39+VINCULACIÓN!G39+PLANEACION!G39+CALIDAD!G39+'ADMON REC'!G39</f>
        <v>0</v>
      </c>
      <c r="H36" s="406">
        <f>ELECTROMECANICA!H39+ALIMENTARIAS!H39+'INOVACION AGRICOLA'!H39+'SERVICIOS ESCOLARES'!H39+'DESARROLLO ACADEMICO'!H39+VINCULACIÓN!H39+PLANEACION!H39+CALIDAD!H39+'ADMON REC'!H39</f>
        <v>0</v>
      </c>
      <c r="I36" s="406">
        <f>ALIMENTARIAS!I39</f>
        <v>0</v>
      </c>
      <c r="J36" s="401"/>
      <c r="K36" s="319">
        <f t="shared" si="4"/>
        <v>2000</v>
      </c>
      <c r="M36" s="320">
        <f t="shared" si="3"/>
        <v>0</v>
      </c>
    </row>
    <row r="37" spans="1:13" x14ac:dyDescent="0.2">
      <c r="A37" s="399">
        <f>'PRES. TOTAL CALENARIZADA 2013'!A40</f>
        <v>2431</v>
      </c>
      <c r="B37" s="400" t="str">
        <f>'PRES. TOTAL CALENARIZADA 2013'!C40</f>
        <v>Cal, Yeso y productos de yeso</v>
      </c>
      <c r="C37" s="401">
        <f>'PRES. TOTAL CALENARIZADA 2013'!D40</f>
        <v>7000</v>
      </c>
      <c r="D37" s="252"/>
      <c r="E37" s="405">
        <f>ELECTROMECANICA!E40+ALIMENTARIAS!E40+'INOVACION AGRICOLA'!E40+'SERVICIOS ESCOLARES'!E40+'DESARROLLO ACADEMICO'!E40+VINCULACIÓN!E40+PLANEACION!E40+CALIDAD!E40+'ADMON REC'!E40</f>
        <v>1000</v>
      </c>
      <c r="F37" s="406">
        <f>ELECTROMECANICA!F40+ALIMENTARIAS!F40+'INOVACION AGRICOLA'!F40+'SERVICIOS ESCOLARES'!F40+'DESARROLLO ACADEMICO'!F40+VINCULACIÓN!F40+PLANEACION!F40+CALIDAD!F40+'ADMON REC'!F40</f>
        <v>6000</v>
      </c>
      <c r="G37" s="406">
        <f>ELECTROMECANICA!G40+ALIMENTARIAS!G40+'INOVACION AGRICOLA'!G40+'SERVICIOS ESCOLARES'!G40+'DESARROLLO ACADEMICO'!G40+VINCULACIÓN!G40+PLANEACION!G40+CALIDAD!G40+'ADMON REC'!G40</f>
        <v>0</v>
      </c>
      <c r="H37" s="406">
        <f>ELECTROMECANICA!H40+ALIMENTARIAS!H40+'INOVACION AGRICOLA'!H40+'SERVICIOS ESCOLARES'!H40+'DESARROLLO ACADEMICO'!H40+VINCULACIÓN!H40+PLANEACION!H40+CALIDAD!H40+'ADMON REC'!H40</f>
        <v>0</v>
      </c>
      <c r="I37" s="406">
        <f>ALIMENTARIAS!I40</f>
        <v>0</v>
      </c>
      <c r="J37" s="401"/>
      <c r="K37" s="319">
        <f t="shared" si="4"/>
        <v>7000</v>
      </c>
      <c r="M37" s="320">
        <f t="shared" si="3"/>
        <v>0</v>
      </c>
    </row>
    <row r="38" spans="1:13" x14ac:dyDescent="0.2">
      <c r="A38" s="399">
        <f>'PRES. TOTAL CALENARIZADA 2013'!A41</f>
        <v>2441</v>
      </c>
      <c r="B38" s="400" t="str">
        <f>'PRES. TOTAL CALENARIZADA 2013'!C41</f>
        <v>Madera y productos de madera</v>
      </c>
      <c r="C38" s="401">
        <f>'PRES. TOTAL CALENARIZADA 2013'!D41</f>
        <v>2000</v>
      </c>
      <c r="D38" s="252"/>
      <c r="E38" s="405">
        <f>ELECTROMECANICA!E41+ALIMENTARIAS!E41+'INOVACION AGRICOLA'!E41+'SERVICIOS ESCOLARES'!E41+'DESARROLLO ACADEMICO'!E41+VINCULACIÓN!E41+PLANEACION!E41+CALIDAD!E41+'ADMON REC'!E41</f>
        <v>1000</v>
      </c>
      <c r="F38" s="406">
        <f>ELECTROMECANICA!F41+ALIMENTARIAS!F41+'INOVACION AGRICOLA'!F41+'SERVICIOS ESCOLARES'!F41+'DESARROLLO ACADEMICO'!F41+VINCULACIÓN!F41+PLANEACION!F41+CALIDAD!F41+'ADMON REC'!F41</f>
        <v>1000</v>
      </c>
      <c r="G38" s="406">
        <f>ELECTROMECANICA!G41+ALIMENTARIAS!G41+'INOVACION AGRICOLA'!G41+'SERVICIOS ESCOLARES'!G41+'DESARROLLO ACADEMICO'!G41+VINCULACIÓN!G41+PLANEACION!G41+CALIDAD!G41+'ADMON REC'!G41</f>
        <v>0</v>
      </c>
      <c r="H38" s="406">
        <f>ELECTROMECANICA!H41+ALIMENTARIAS!H41+'INOVACION AGRICOLA'!H41+'SERVICIOS ESCOLARES'!H41+'DESARROLLO ACADEMICO'!H41+VINCULACIÓN!H41+PLANEACION!H41+CALIDAD!H41+'ADMON REC'!H41</f>
        <v>0</v>
      </c>
      <c r="I38" s="406">
        <f>ALIMENTARIAS!I41</f>
        <v>0</v>
      </c>
      <c r="J38" s="401"/>
      <c r="K38" s="319">
        <f t="shared" si="4"/>
        <v>2000</v>
      </c>
      <c r="M38" s="320">
        <f t="shared" si="3"/>
        <v>0</v>
      </c>
    </row>
    <row r="39" spans="1:13" x14ac:dyDescent="0.2">
      <c r="A39" s="399">
        <f>'PRES. TOTAL CALENARIZADA 2013'!A42</f>
        <v>2451</v>
      </c>
      <c r="B39" s="400" t="str">
        <f>'PRES. TOTAL CALENARIZADA 2013'!C42</f>
        <v>Vidrio y productos de vidrio</v>
      </c>
      <c r="C39" s="401">
        <f>'PRES. TOTAL CALENARIZADA 2013'!D42</f>
        <v>6000</v>
      </c>
      <c r="D39" s="252"/>
      <c r="E39" s="405">
        <f>ELECTROMECANICA!E42+ALIMENTARIAS!E42+'INOVACION AGRICOLA'!E42+'SERVICIOS ESCOLARES'!E42+'DESARROLLO ACADEMICO'!E42+VINCULACIÓN!E42+PLANEACION!E42+CALIDAD!E42+'ADMON REC'!E42</f>
        <v>3000</v>
      </c>
      <c r="F39" s="406">
        <f>ELECTROMECANICA!F42+ALIMENTARIAS!F42+'INOVACION AGRICOLA'!F42+'SERVICIOS ESCOLARES'!F42+'DESARROLLO ACADEMICO'!F42+VINCULACIÓN!F42+PLANEACION!F42+CALIDAD!F42+'ADMON REC'!F42</f>
        <v>3000</v>
      </c>
      <c r="G39" s="406">
        <f>ELECTROMECANICA!G42+ALIMENTARIAS!G42+'INOVACION AGRICOLA'!G42+'SERVICIOS ESCOLARES'!G42+'DESARROLLO ACADEMICO'!G42+VINCULACIÓN!G42+PLANEACION!G42+CALIDAD!G42+'ADMON REC'!G42</f>
        <v>0</v>
      </c>
      <c r="H39" s="406">
        <f>ELECTROMECANICA!H42+ALIMENTARIAS!H42+'INOVACION AGRICOLA'!H42+'SERVICIOS ESCOLARES'!H42+'DESARROLLO ACADEMICO'!H42+VINCULACIÓN!H42+PLANEACION!H42+CALIDAD!H42+'ADMON REC'!H42</f>
        <v>0</v>
      </c>
      <c r="I39" s="406">
        <f>ALIMENTARIAS!I42</f>
        <v>0</v>
      </c>
      <c r="J39" s="401"/>
      <c r="K39" s="319">
        <f t="shared" si="4"/>
        <v>6000</v>
      </c>
      <c r="M39" s="320">
        <f t="shared" si="3"/>
        <v>0</v>
      </c>
    </row>
    <row r="40" spans="1:13" x14ac:dyDescent="0.2">
      <c r="A40" s="399">
        <f>'PRES. TOTAL CALENARIZADA 2013'!A43</f>
        <v>2461</v>
      </c>
      <c r="B40" s="400" t="str">
        <f>'PRES. TOTAL CALENARIZADA 2013'!C43</f>
        <v>Material electrico y electronico</v>
      </c>
      <c r="C40" s="401">
        <f>'PRES. TOTAL CALENARIZADA 2013'!D43</f>
        <v>20000</v>
      </c>
      <c r="D40" s="252"/>
      <c r="E40" s="405">
        <f>ELECTROMECANICA!E43+ALIMENTARIAS!E43+'INOVACION AGRICOLA'!E43+'SERVICIOS ESCOLARES'!E43+'DESARROLLO ACADEMICO'!E43+VINCULACIÓN!E43+PLANEACION!E43+CALIDAD!E43+'ADMON REC'!E43</f>
        <v>10000</v>
      </c>
      <c r="F40" s="406">
        <f>ELECTROMECANICA!F43+ALIMENTARIAS!F43+'INOVACION AGRICOLA'!F43+'SERVICIOS ESCOLARES'!F43+'DESARROLLO ACADEMICO'!F43+VINCULACIÓN!F43+PLANEACION!F43+CALIDAD!F43+'ADMON REC'!F43</f>
        <v>10000</v>
      </c>
      <c r="G40" s="406">
        <f>ELECTROMECANICA!G43+ALIMENTARIAS!G43+'INOVACION AGRICOLA'!G43+'SERVICIOS ESCOLARES'!G43+'DESARROLLO ACADEMICO'!G43+VINCULACIÓN!G43+PLANEACION!G43+CALIDAD!G43+'ADMON REC'!G43</f>
        <v>0</v>
      </c>
      <c r="H40" s="406">
        <f>ELECTROMECANICA!H43+ALIMENTARIAS!H43+'INOVACION AGRICOLA'!H43+'SERVICIOS ESCOLARES'!H43+'DESARROLLO ACADEMICO'!H43+VINCULACIÓN!H43+PLANEACION!H43+CALIDAD!H43+'ADMON REC'!H43</f>
        <v>0</v>
      </c>
      <c r="I40" s="406">
        <f>ALIMENTARIAS!I43</f>
        <v>0</v>
      </c>
      <c r="J40" s="401"/>
      <c r="K40" s="319">
        <f t="shared" si="4"/>
        <v>20000</v>
      </c>
      <c r="M40" s="320">
        <f t="shared" si="3"/>
        <v>0</v>
      </c>
    </row>
    <row r="41" spans="1:13" x14ac:dyDescent="0.2">
      <c r="A41" s="399">
        <f>'PRES. TOTAL CALENARIZADA 2013'!A44</f>
        <v>2471</v>
      </c>
      <c r="B41" s="400" t="str">
        <f>'PRES. TOTAL CALENARIZADA 2013'!C44</f>
        <v>Artículos Metálicos</v>
      </c>
      <c r="C41" s="401">
        <f>'PRES. TOTAL CALENARIZADA 2013'!D44</f>
        <v>28224.68</v>
      </c>
      <c r="D41" s="252"/>
      <c r="E41" s="405">
        <f>ELECTROMECANICA!E44+ALIMENTARIAS!E44+'INOVACION AGRICOLA'!E44+'SERVICIOS ESCOLARES'!E44+'DESARROLLO ACADEMICO'!E44+VINCULACIÓN!E44+PLANEACION!E44+CALIDAD!E44+'ADMON REC'!E44</f>
        <v>5224.68</v>
      </c>
      <c r="F41" s="406">
        <f>ELECTROMECANICA!F44+ALIMENTARIAS!F44+'INOVACION AGRICOLA'!F44+'SERVICIOS ESCOLARES'!F44+'DESARROLLO ACADEMICO'!F44+VINCULACIÓN!F44+PLANEACION!F44+CALIDAD!F44+'ADMON REC'!F44</f>
        <v>3000</v>
      </c>
      <c r="G41" s="406">
        <f>ELECTROMECANICA!G44+ALIMENTARIAS!G44+'INOVACION AGRICOLA'!G44+'SERVICIOS ESCOLARES'!G44+'DESARROLLO ACADEMICO'!G44+VINCULACIÓN!G44+PLANEACION!G44+CALIDAD!G44+'ADMON REC'!G44</f>
        <v>0</v>
      </c>
      <c r="H41" s="406">
        <f>ELECTROMECANICA!H44+ALIMENTARIAS!H44+'INOVACION AGRICOLA'!H44+'SERVICIOS ESCOLARES'!H44+'DESARROLLO ACADEMICO'!H44+VINCULACIÓN!H44+PLANEACION!H44+CALIDAD!H44+'ADMON REC'!H44</f>
        <v>20000</v>
      </c>
      <c r="I41" s="406">
        <f>ALIMENTARIAS!I44</f>
        <v>0</v>
      </c>
      <c r="J41" s="401"/>
      <c r="K41" s="319">
        <f t="shared" si="4"/>
        <v>28224.68</v>
      </c>
      <c r="M41" s="320">
        <f t="shared" si="3"/>
        <v>0</v>
      </c>
    </row>
    <row r="42" spans="1:13" x14ac:dyDescent="0.2">
      <c r="A42" s="399">
        <f>'PRES. TOTAL CALENARIZADA 2013'!A45</f>
        <v>2481</v>
      </c>
      <c r="B42" s="400" t="str">
        <f>'PRES. TOTAL CALENARIZADA 2013'!C45</f>
        <v>Materiales complementarios</v>
      </c>
      <c r="C42" s="401">
        <f>'PRES. TOTAL CALENARIZADA 2013'!D45</f>
        <v>14000</v>
      </c>
      <c r="D42" s="252"/>
      <c r="E42" s="405">
        <f>ELECTROMECANICA!E45+ALIMENTARIAS!E45+'INOVACION AGRICOLA'!E45+'SERVICIOS ESCOLARES'!E45+'DESARROLLO ACADEMICO'!E45+VINCULACIÓN!E45+PLANEACION!E45+CALIDAD!E45+'ADMON REC'!E45</f>
        <v>2000</v>
      </c>
      <c r="F42" s="406">
        <f>ELECTROMECANICA!F45+ALIMENTARIAS!F45+'INOVACION AGRICOLA'!F45+'SERVICIOS ESCOLARES'!F45+'DESARROLLO ACADEMICO'!F45+VINCULACIÓN!F45+PLANEACION!F45+CALIDAD!F45+'ADMON REC'!F45</f>
        <v>12000</v>
      </c>
      <c r="G42" s="406">
        <f>ELECTROMECANICA!G45+ALIMENTARIAS!G45+'INOVACION AGRICOLA'!G45+'SERVICIOS ESCOLARES'!G45+'DESARROLLO ACADEMICO'!G45+VINCULACIÓN!G45+PLANEACION!G45+CALIDAD!G45+'ADMON REC'!G45</f>
        <v>0</v>
      </c>
      <c r="H42" s="406">
        <f>ELECTROMECANICA!H45+ALIMENTARIAS!H45+'INOVACION AGRICOLA'!H45+'SERVICIOS ESCOLARES'!H45+'DESARROLLO ACADEMICO'!H45+VINCULACIÓN!H45+PLANEACION!H45+CALIDAD!H45+'ADMON REC'!H45</f>
        <v>0</v>
      </c>
      <c r="I42" s="406">
        <f>ALIMENTARIAS!I45</f>
        <v>0</v>
      </c>
      <c r="J42" s="401"/>
      <c r="K42" s="319">
        <f t="shared" si="4"/>
        <v>14000</v>
      </c>
      <c r="M42" s="320">
        <f t="shared" si="3"/>
        <v>0</v>
      </c>
    </row>
    <row r="43" spans="1:13" ht="22.5" x14ac:dyDescent="0.2">
      <c r="A43" s="399">
        <f>'PRES. TOTAL CALENARIZADA 2013'!A46</f>
        <v>2491</v>
      </c>
      <c r="B43" s="400" t="str">
        <f>'PRES. TOTAL CALENARIZADA 2013'!C46</f>
        <v>Otros materiales y artículos de construcción y reparación</v>
      </c>
      <c r="C43" s="401">
        <f>'PRES. TOTAL CALENARIZADA 2013'!D46</f>
        <v>13000</v>
      </c>
      <c r="D43" s="252"/>
      <c r="E43" s="405">
        <f>ELECTROMECANICA!E46+ALIMENTARIAS!E46+'INOVACION AGRICOLA'!E46+'SERVICIOS ESCOLARES'!E46+'DESARROLLO ACADEMICO'!E46+VINCULACIÓN!E46+PLANEACION!E46+CALIDAD!E46+'ADMON REC'!E46</f>
        <v>4000</v>
      </c>
      <c r="F43" s="406">
        <f>ELECTROMECANICA!F46+ALIMENTARIAS!F46+'INOVACION AGRICOLA'!F46+'SERVICIOS ESCOLARES'!F46+'DESARROLLO ACADEMICO'!F46+VINCULACIÓN!F46+PLANEACION!F46+CALIDAD!F46+'ADMON REC'!F46</f>
        <v>9000</v>
      </c>
      <c r="G43" s="406">
        <f>ELECTROMECANICA!G46+ALIMENTARIAS!G46+'INOVACION AGRICOLA'!G46+'SERVICIOS ESCOLARES'!G46+'DESARROLLO ACADEMICO'!G46+VINCULACIÓN!G46+PLANEACION!G46+CALIDAD!G46+'ADMON REC'!G46</f>
        <v>0</v>
      </c>
      <c r="H43" s="406">
        <f>ELECTROMECANICA!H46+ALIMENTARIAS!H46+'INOVACION AGRICOLA'!H46+'SERVICIOS ESCOLARES'!H46+'DESARROLLO ACADEMICO'!H46+VINCULACIÓN!H46+PLANEACION!H46+CALIDAD!H46+'ADMON REC'!H46</f>
        <v>0</v>
      </c>
      <c r="I43" s="406">
        <f>ALIMENTARIAS!I46</f>
        <v>0</v>
      </c>
      <c r="J43" s="401"/>
      <c r="K43" s="319">
        <f t="shared" si="4"/>
        <v>13000</v>
      </c>
      <c r="M43" s="320">
        <f t="shared" si="3"/>
        <v>0</v>
      </c>
    </row>
    <row r="44" spans="1:13" x14ac:dyDescent="0.2">
      <c r="A44" s="399">
        <f>'PRES. TOTAL CALENARIZADA 2013'!A47</f>
        <v>2511</v>
      </c>
      <c r="B44" s="400" t="str">
        <f>'PRES. TOTAL CALENARIZADA 2013'!C47</f>
        <v>Productos químicos básicos</v>
      </c>
      <c r="C44" s="401">
        <f>'PRES. TOTAL CALENARIZADA 2013'!D47</f>
        <v>41904.26</v>
      </c>
      <c r="D44" s="252"/>
      <c r="E44" s="405">
        <f>ELECTROMECANICA!E47+ALIMENTARIAS!E47+'INOVACION AGRICOLA'!E47+'SERVICIOS ESCOLARES'!E47+'DESARROLLO ACADEMICO'!E47+VINCULACIÓN!E47+PLANEACION!E47+CALIDAD!E47+'ADMON REC'!E47</f>
        <v>20000</v>
      </c>
      <c r="F44" s="406">
        <f>ELECTROMECANICA!F47+ALIMENTARIAS!F47+'INOVACION AGRICOLA'!F47+'SERVICIOS ESCOLARES'!F47+'DESARROLLO ACADEMICO'!F47+VINCULACIÓN!F47+PLANEACION!F47+CALIDAD!F47+'ADMON REC'!F47</f>
        <v>20000</v>
      </c>
      <c r="G44" s="406">
        <f>ELECTROMECANICA!G47+ALIMENTARIAS!G47+'INOVACION AGRICOLA'!G47+'SERVICIOS ESCOLARES'!G47+'DESARROLLO ACADEMICO'!G47+VINCULACIÓN!G47+PLANEACION!G47+CALIDAD!G47+'ADMON REC'!G47</f>
        <v>0</v>
      </c>
      <c r="H44" s="406">
        <f>ELECTROMECANICA!H47+ALIMENTARIAS!H47+'INOVACION AGRICOLA'!H47+'SERVICIOS ESCOLARES'!H47+'DESARROLLO ACADEMICO'!H47+VINCULACIÓN!H47+PLANEACION!H47+CALIDAD!H47+'ADMON REC'!H47</f>
        <v>0</v>
      </c>
      <c r="I44" s="406">
        <f>ALIMENTARIAS!I47</f>
        <v>1904.26</v>
      </c>
      <c r="J44" s="401"/>
      <c r="K44" s="319">
        <f t="shared" si="4"/>
        <v>41904.26</v>
      </c>
      <c r="M44" s="320">
        <f t="shared" si="3"/>
        <v>0</v>
      </c>
    </row>
    <row r="45" spans="1:13" ht="22.5" x14ac:dyDescent="0.2">
      <c r="A45" s="399">
        <f>'PRES. TOTAL CALENARIZADA 2013'!A48</f>
        <v>2521</v>
      </c>
      <c r="B45" s="400" t="str">
        <f>'PRES. TOTAL CALENARIZADA 2013'!C48</f>
        <v>Fertilizantes, pesticidas y otros agroquímicos</v>
      </c>
      <c r="C45" s="401">
        <f>'PRES. TOTAL CALENARIZADA 2013'!D48</f>
        <v>14400</v>
      </c>
      <c r="D45" s="252"/>
      <c r="E45" s="405">
        <f>ELECTROMECANICA!E48+ALIMENTARIAS!E48+'INOVACION AGRICOLA'!E48+'SERVICIOS ESCOLARES'!E48+'DESARROLLO ACADEMICO'!E48+VINCULACIÓN!E48+PLANEACION!E48+CALIDAD!E48+'ADMON REC'!E48</f>
        <v>7200</v>
      </c>
      <c r="F45" s="406">
        <f>ELECTROMECANICA!F48+ALIMENTARIAS!F48+'INOVACION AGRICOLA'!F48+'SERVICIOS ESCOLARES'!F48+'DESARROLLO ACADEMICO'!F48+VINCULACIÓN!F48+PLANEACION!F48+CALIDAD!F48+'ADMON REC'!F48</f>
        <v>7200</v>
      </c>
      <c r="G45" s="406">
        <f>ELECTROMECANICA!G48+ALIMENTARIAS!G48+'INOVACION AGRICOLA'!G48+'SERVICIOS ESCOLARES'!G48+'DESARROLLO ACADEMICO'!G48+VINCULACIÓN!G48+PLANEACION!G48+CALIDAD!G48+'ADMON REC'!G48</f>
        <v>0</v>
      </c>
      <c r="H45" s="406">
        <f>ELECTROMECANICA!H48+ALIMENTARIAS!H48+'INOVACION AGRICOLA'!H48+'SERVICIOS ESCOLARES'!H48+'DESARROLLO ACADEMICO'!H48+VINCULACIÓN!H48+PLANEACION!H48+CALIDAD!H48+'ADMON REC'!H48</f>
        <v>0</v>
      </c>
      <c r="I45" s="406">
        <f>ALIMENTARIAS!I48</f>
        <v>0</v>
      </c>
      <c r="J45" s="401"/>
      <c r="K45" s="319">
        <f t="shared" si="4"/>
        <v>14400</v>
      </c>
      <c r="M45" s="320">
        <f t="shared" si="3"/>
        <v>0</v>
      </c>
    </row>
    <row r="46" spans="1:13" x14ac:dyDescent="0.2">
      <c r="A46" s="399">
        <f>'PRES. TOTAL CALENARIZADA 2013'!A49</f>
        <v>2531</v>
      </c>
      <c r="B46" s="400" t="str">
        <f>'PRES. TOTAL CALENARIZADA 2013'!C49</f>
        <v>Medicinas y productos farmacéuticos</v>
      </c>
      <c r="C46" s="401">
        <f>'PRES. TOTAL CALENARIZADA 2013'!D49</f>
        <v>4000</v>
      </c>
      <c r="D46" s="252"/>
      <c r="E46" s="405">
        <f>ELECTROMECANICA!E49+ALIMENTARIAS!E49+'INOVACION AGRICOLA'!E49+'SERVICIOS ESCOLARES'!E49+'DESARROLLO ACADEMICO'!E49+VINCULACIÓN!E49+PLANEACION!E49+CALIDAD!E49+'ADMON REC'!E49</f>
        <v>2000</v>
      </c>
      <c r="F46" s="406">
        <f>ELECTROMECANICA!F49+ALIMENTARIAS!F49+'INOVACION AGRICOLA'!F49+'SERVICIOS ESCOLARES'!F49+'DESARROLLO ACADEMICO'!F49+VINCULACIÓN!F49+PLANEACION!F49+CALIDAD!F49+'ADMON REC'!F49</f>
        <v>2000</v>
      </c>
      <c r="G46" s="406">
        <f>ELECTROMECANICA!G49+ALIMENTARIAS!G49+'INOVACION AGRICOLA'!G49+'SERVICIOS ESCOLARES'!G49+'DESARROLLO ACADEMICO'!G49+VINCULACIÓN!G49+PLANEACION!G49+CALIDAD!G49+'ADMON REC'!G49</f>
        <v>0</v>
      </c>
      <c r="H46" s="406">
        <f>ELECTROMECANICA!H49+ALIMENTARIAS!H49+'INOVACION AGRICOLA'!H49+'SERVICIOS ESCOLARES'!H49+'DESARROLLO ACADEMICO'!H49+VINCULACIÓN!H49+PLANEACION!H49+CALIDAD!H49+'ADMON REC'!H49</f>
        <v>0</v>
      </c>
      <c r="I46" s="406">
        <f>ALIMENTARIAS!I49</f>
        <v>0</v>
      </c>
      <c r="J46" s="401"/>
      <c r="K46" s="319">
        <f t="shared" si="4"/>
        <v>4000</v>
      </c>
      <c r="M46" s="320">
        <f t="shared" si="3"/>
        <v>0</v>
      </c>
    </row>
    <row r="47" spans="1:13" ht="22.5" x14ac:dyDescent="0.2">
      <c r="A47" s="399">
        <f>'PRES. TOTAL CALENARIZADA 2013'!A50</f>
        <v>2541</v>
      </c>
      <c r="B47" s="400" t="str">
        <f>'PRES. TOTAL CALENARIZADA 2013'!C50</f>
        <v>Materiales, accesorios y suministros médicos</v>
      </c>
      <c r="C47" s="401">
        <f>'PRES. TOTAL CALENARIZADA 2013'!D50</f>
        <v>6000</v>
      </c>
      <c r="D47" s="252"/>
      <c r="E47" s="405">
        <f>ELECTROMECANICA!E50+ALIMENTARIAS!E50+'INOVACION AGRICOLA'!E50+'SERVICIOS ESCOLARES'!E50+'DESARROLLO ACADEMICO'!E50+VINCULACIÓN!E50+PLANEACION!E50+CALIDAD!E50+'ADMON REC'!E50</f>
        <v>3000</v>
      </c>
      <c r="F47" s="406">
        <f>ELECTROMECANICA!F50+ALIMENTARIAS!F50+'INOVACION AGRICOLA'!F50+'SERVICIOS ESCOLARES'!F50+'DESARROLLO ACADEMICO'!F50+VINCULACIÓN!F50+PLANEACION!F50+CALIDAD!F50+'ADMON REC'!F50</f>
        <v>3000</v>
      </c>
      <c r="G47" s="406">
        <f>ELECTROMECANICA!G50+ALIMENTARIAS!G50+'INOVACION AGRICOLA'!G50+'SERVICIOS ESCOLARES'!G50+'DESARROLLO ACADEMICO'!G50+VINCULACIÓN!G50+PLANEACION!G50+CALIDAD!G50+'ADMON REC'!G50</f>
        <v>0</v>
      </c>
      <c r="H47" s="406">
        <f>ELECTROMECANICA!H50+ALIMENTARIAS!H50+'INOVACION AGRICOLA'!H50+'SERVICIOS ESCOLARES'!H50+'DESARROLLO ACADEMICO'!H50+VINCULACIÓN!H50+PLANEACION!H50+CALIDAD!H50+'ADMON REC'!H50</f>
        <v>0</v>
      </c>
      <c r="I47" s="406">
        <f>ALIMENTARIAS!I50</f>
        <v>0</v>
      </c>
      <c r="J47" s="401"/>
      <c r="K47" s="319">
        <f t="shared" si="4"/>
        <v>6000</v>
      </c>
      <c r="M47" s="320">
        <f t="shared" si="3"/>
        <v>0</v>
      </c>
    </row>
    <row r="48" spans="1:13" ht="22.5" x14ac:dyDescent="0.2">
      <c r="A48" s="399">
        <f>'PRES. TOTAL CALENARIZADA 2013'!A51</f>
        <v>2551</v>
      </c>
      <c r="B48" s="400" t="str">
        <f>'PRES. TOTAL CALENARIZADA 2013'!C51</f>
        <v>Materiales, accesorios y suministros de laboratorio</v>
      </c>
      <c r="C48" s="401">
        <f>'PRES. TOTAL CALENARIZADA 2013'!D51</f>
        <v>62740.33</v>
      </c>
      <c r="D48" s="252"/>
      <c r="E48" s="405">
        <f>ELECTROMECANICA!E51+ALIMENTARIAS!E51+'INOVACION AGRICOLA'!E51+'SERVICIOS ESCOLARES'!E51+'DESARROLLO ACADEMICO'!E51+VINCULACIÓN!E51+PLANEACION!E51+CALIDAD!E51+'ADMON REC'!E51</f>
        <v>18000</v>
      </c>
      <c r="F48" s="406">
        <f>ELECTROMECANICA!F51+ALIMENTARIAS!F51+'INOVACION AGRICOLA'!F51+'SERVICIOS ESCOLARES'!F51+'DESARROLLO ACADEMICO'!F51+VINCULACIÓN!F51+PLANEACION!F51+CALIDAD!F51+'ADMON REC'!F51</f>
        <v>18000</v>
      </c>
      <c r="G48" s="406">
        <f>ELECTROMECANICA!G51+ALIMENTARIAS!G51+'INOVACION AGRICOLA'!G51+'SERVICIOS ESCOLARES'!G51+'DESARROLLO ACADEMICO'!G51+VINCULACIÓN!G51+PLANEACION!G51+CALIDAD!G51+'ADMON REC'!G51</f>
        <v>0</v>
      </c>
      <c r="H48" s="406">
        <f>ELECTROMECANICA!H51+ALIMENTARIAS!H51+'INOVACION AGRICOLA'!H51+'SERVICIOS ESCOLARES'!H51+'DESARROLLO ACADEMICO'!H51+VINCULACIÓN!H51+PLANEACION!H51+CALIDAD!H51+'ADMON REC'!H51</f>
        <v>20000</v>
      </c>
      <c r="I48" s="406">
        <f>ALIMENTARIAS!I51</f>
        <v>6740.33</v>
      </c>
      <c r="J48" s="401"/>
      <c r="K48" s="319">
        <f t="shared" si="4"/>
        <v>62740.33</v>
      </c>
      <c r="M48" s="320">
        <f t="shared" si="3"/>
        <v>0</v>
      </c>
    </row>
    <row r="49" spans="1:13" ht="22.5" x14ac:dyDescent="0.2">
      <c r="A49" s="399">
        <f>'PRES. TOTAL CALENARIZADA 2013'!A52</f>
        <v>2561</v>
      </c>
      <c r="B49" s="400" t="str">
        <f>'PRES. TOTAL CALENARIZADA 2013'!C52</f>
        <v>Fibras sintéticas, hules, plasticos y derivados</v>
      </c>
      <c r="C49" s="401">
        <f>'PRES. TOTAL CALENARIZADA 2013'!D52</f>
        <v>38000</v>
      </c>
      <c r="D49" s="252"/>
      <c r="E49" s="405">
        <f>ELECTROMECANICA!E52+ALIMENTARIAS!E52+'INOVACION AGRICOLA'!E52+'SERVICIOS ESCOLARES'!E52+'DESARROLLO ACADEMICO'!E52+VINCULACIÓN!E52+PLANEACION!E52+CALIDAD!E52+'ADMON REC'!E52</f>
        <v>9000</v>
      </c>
      <c r="F49" s="406">
        <f>ELECTROMECANICA!F52+ALIMENTARIAS!F52+'INOVACION AGRICOLA'!F52+'SERVICIOS ESCOLARES'!F52+'DESARROLLO ACADEMICO'!F52+VINCULACIÓN!F52+PLANEACION!F52+CALIDAD!F52+'ADMON REC'!F52</f>
        <v>9000</v>
      </c>
      <c r="G49" s="406">
        <f>ELECTROMECANICA!G52+ALIMENTARIAS!G52+'INOVACION AGRICOLA'!G52+'SERVICIOS ESCOLARES'!G52+'DESARROLLO ACADEMICO'!G52+VINCULACIÓN!G52+PLANEACION!G52+CALIDAD!G52+'ADMON REC'!G52</f>
        <v>0</v>
      </c>
      <c r="H49" s="406">
        <f>ELECTROMECANICA!H52+ALIMENTARIAS!H52+'INOVACION AGRICOLA'!H52+'SERVICIOS ESCOLARES'!H52+'DESARROLLO ACADEMICO'!H52+VINCULACIÓN!H52+PLANEACION!H52+CALIDAD!H52+'ADMON REC'!H52</f>
        <v>20000</v>
      </c>
      <c r="I49" s="406">
        <f>ALIMENTARIAS!I52</f>
        <v>0</v>
      </c>
      <c r="J49" s="401"/>
      <c r="K49" s="319">
        <f t="shared" si="4"/>
        <v>38000</v>
      </c>
      <c r="M49" s="320">
        <f t="shared" si="3"/>
        <v>0</v>
      </c>
    </row>
    <row r="50" spans="1:13" x14ac:dyDescent="0.2">
      <c r="A50" s="399">
        <f>'PRES. TOTAL CALENARIZADA 2013'!A53</f>
        <v>2591</v>
      </c>
      <c r="B50" s="400" t="str">
        <f>'PRES. TOTAL CALENARIZADA 2013'!C53</f>
        <v>Otros productos químicos</v>
      </c>
      <c r="C50" s="401">
        <f>'PRES. TOTAL CALENARIZADA 2013'!D53</f>
        <v>44422.26</v>
      </c>
      <c r="D50" s="252"/>
      <c r="E50" s="405">
        <f>ELECTROMECANICA!E53+ALIMENTARIAS!E53+'INOVACION AGRICOLA'!E53+'SERVICIOS ESCOLARES'!E53+'DESARROLLO ACADEMICO'!E53+VINCULACIÓN!E53+PLANEACION!E53+CALIDAD!E53+'ADMON REC'!E53</f>
        <v>20000</v>
      </c>
      <c r="F50" s="406">
        <f>ELECTROMECANICA!F53+ALIMENTARIAS!F53+'INOVACION AGRICOLA'!F53+'SERVICIOS ESCOLARES'!F53+'DESARROLLO ACADEMICO'!F53+VINCULACIÓN!F53+PLANEACION!F53+CALIDAD!F53+'ADMON REC'!F53</f>
        <v>20000</v>
      </c>
      <c r="G50" s="406">
        <f>ELECTROMECANICA!G53+ALIMENTARIAS!G53+'INOVACION AGRICOLA'!G53+'SERVICIOS ESCOLARES'!G53+'DESARROLLO ACADEMICO'!G53+VINCULACIÓN!G53+PLANEACION!G53+CALIDAD!G53+'ADMON REC'!G53</f>
        <v>0</v>
      </c>
      <c r="H50" s="406">
        <f>ELECTROMECANICA!H53+ALIMENTARIAS!H53+'INOVACION AGRICOLA'!H53+'SERVICIOS ESCOLARES'!H53+'DESARROLLO ACADEMICO'!H53+VINCULACIÓN!H53+PLANEACION!H53+CALIDAD!H53+'ADMON REC'!H53</f>
        <v>0</v>
      </c>
      <c r="I50" s="406">
        <f>ALIMENTARIAS!I53</f>
        <v>4422.26</v>
      </c>
      <c r="J50" s="401"/>
      <c r="K50" s="319">
        <f t="shared" si="4"/>
        <v>44422.26</v>
      </c>
      <c r="M50" s="320">
        <f t="shared" si="3"/>
        <v>0</v>
      </c>
    </row>
    <row r="51" spans="1:13" x14ac:dyDescent="0.2">
      <c r="A51" s="399">
        <f>'PRES. TOTAL CALENARIZADA 2013'!A54</f>
        <v>2611</v>
      </c>
      <c r="B51" s="400" t="str">
        <f>'PRES. TOTAL CALENARIZADA 2013'!C54</f>
        <v>Combustibles</v>
      </c>
      <c r="C51" s="401">
        <f>'PRES. TOTAL CALENARIZADA 2013'!D54</f>
        <v>202000</v>
      </c>
      <c r="D51" s="252"/>
      <c r="E51" s="405">
        <f>ELECTROMECANICA!E54+ALIMENTARIAS!E54+'INOVACION AGRICOLA'!E54+'SERVICIOS ESCOLARES'!E54+'DESARROLLO ACADEMICO'!E54+VINCULACIÓN!E54+PLANEACION!E54+CALIDAD!E54+'ADMON REC'!E54</f>
        <v>62000</v>
      </c>
      <c r="F51" s="406">
        <f>ELECTROMECANICA!F54+ALIMENTARIAS!F54+'INOVACION AGRICOLA'!F54+'SERVICIOS ESCOLARES'!F54+'DESARROLLO ACADEMICO'!F54+VINCULACIÓN!F54+PLANEACION!F54+CALIDAD!F54+'ADMON REC'!F54</f>
        <v>62000</v>
      </c>
      <c r="G51" s="406">
        <f>ELECTROMECANICA!G54+ALIMENTARIAS!G54+'INOVACION AGRICOLA'!G54+'SERVICIOS ESCOLARES'!G54+'DESARROLLO ACADEMICO'!G54+VINCULACIÓN!G54+PLANEACION!G54+CALIDAD!G54+'ADMON REC'!G54</f>
        <v>58000</v>
      </c>
      <c r="H51" s="406">
        <f>ELECTROMECANICA!H54+ALIMENTARIAS!H54+'INOVACION AGRICOLA'!H54+'SERVICIOS ESCOLARES'!H54+'DESARROLLO ACADEMICO'!H54+VINCULACIÓN!H54+PLANEACION!H54+CALIDAD!H54+'ADMON REC'!H54</f>
        <v>20000</v>
      </c>
      <c r="I51" s="406">
        <f>ALIMENTARIAS!I54</f>
        <v>0</v>
      </c>
      <c r="J51" s="401"/>
      <c r="K51" s="319">
        <f t="shared" si="4"/>
        <v>202000</v>
      </c>
      <c r="M51" s="320">
        <f t="shared" si="3"/>
        <v>0</v>
      </c>
    </row>
    <row r="52" spans="1:13" x14ac:dyDescent="0.2">
      <c r="A52" s="399">
        <f>'PRES. TOTAL CALENARIZADA 2013'!A55</f>
        <v>2612</v>
      </c>
      <c r="B52" s="400" t="str">
        <f>'PRES. TOTAL CALENARIZADA 2013'!C55</f>
        <v>Lubricantes y aditivos</v>
      </c>
      <c r="C52" s="401">
        <f>'PRES. TOTAL CALENARIZADA 2013'!D55</f>
        <v>11000</v>
      </c>
      <c r="D52" s="252"/>
      <c r="E52" s="405">
        <f>ELECTROMECANICA!E55+ALIMENTARIAS!E55+'INOVACION AGRICOLA'!E55+'SERVICIOS ESCOLARES'!E55+'DESARROLLO ACADEMICO'!E55+VINCULACIÓN!E55+PLANEACION!E55+CALIDAD!E55+'ADMON REC'!E55</f>
        <v>5500</v>
      </c>
      <c r="F52" s="406">
        <f>ELECTROMECANICA!F55+ALIMENTARIAS!F55+'INOVACION AGRICOLA'!F55+'SERVICIOS ESCOLARES'!F55+'DESARROLLO ACADEMICO'!F55+VINCULACIÓN!F55+PLANEACION!F55+CALIDAD!F55+'ADMON REC'!F55</f>
        <v>5500</v>
      </c>
      <c r="G52" s="406">
        <f>ELECTROMECANICA!G55+ALIMENTARIAS!G55+'INOVACION AGRICOLA'!G55+'SERVICIOS ESCOLARES'!G55+'DESARROLLO ACADEMICO'!G55+VINCULACIÓN!G55+PLANEACION!G55+CALIDAD!G55+'ADMON REC'!G55</f>
        <v>0</v>
      </c>
      <c r="H52" s="406">
        <f>ELECTROMECANICA!H55+ALIMENTARIAS!H55+'INOVACION AGRICOLA'!H55+'SERVICIOS ESCOLARES'!H55+'DESARROLLO ACADEMICO'!H55+VINCULACIÓN!H55+PLANEACION!H55+CALIDAD!H55+'ADMON REC'!H55</f>
        <v>0</v>
      </c>
      <c r="I52" s="406">
        <f>ALIMENTARIAS!I55</f>
        <v>0</v>
      </c>
      <c r="J52" s="401"/>
      <c r="K52" s="319">
        <f t="shared" si="4"/>
        <v>11000</v>
      </c>
      <c r="M52" s="320">
        <f t="shared" si="3"/>
        <v>0</v>
      </c>
    </row>
    <row r="53" spans="1:13" x14ac:dyDescent="0.2">
      <c r="A53" s="399">
        <f>'PRES. TOTAL CALENARIZADA 2013'!A56</f>
        <v>2711</v>
      </c>
      <c r="B53" s="400" t="str">
        <f>'PRES. TOTAL CALENARIZADA 2013'!C56</f>
        <v>Vestuario y uniformes</v>
      </c>
      <c r="C53" s="401">
        <f>'PRES. TOTAL CALENARIZADA 2013'!D56</f>
        <v>6000</v>
      </c>
      <c r="D53" s="252"/>
      <c r="E53" s="405">
        <f>ELECTROMECANICA!E56+ALIMENTARIAS!E56+'INOVACION AGRICOLA'!E56+'SERVICIOS ESCOLARES'!E56+'DESARROLLO ACADEMICO'!E56+VINCULACIÓN!E56+PLANEACION!E56+CALIDAD!E56+'ADMON REC'!E56</f>
        <v>3000</v>
      </c>
      <c r="F53" s="406">
        <f>ELECTROMECANICA!F56+ALIMENTARIAS!F56+'INOVACION AGRICOLA'!F56+'SERVICIOS ESCOLARES'!F56+'DESARROLLO ACADEMICO'!F56+VINCULACIÓN!F56+PLANEACION!F56+CALIDAD!F56+'ADMON REC'!F56</f>
        <v>3000</v>
      </c>
      <c r="G53" s="406">
        <f>ELECTROMECANICA!G56+ALIMENTARIAS!G56+'INOVACION AGRICOLA'!G56+'SERVICIOS ESCOLARES'!G56+'DESARROLLO ACADEMICO'!G56+VINCULACIÓN!G56+PLANEACION!G56+CALIDAD!G56+'ADMON REC'!G56</f>
        <v>0</v>
      </c>
      <c r="H53" s="406">
        <f>ELECTROMECANICA!H56+ALIMENTARIAS!H56+'INOVACION AGRICOLA'!H56+'SERVICIOS ESCOLARES'!H56+'DESARROLLO ACADEMICO'!H56+VINCULACIÓN!H56+PLANEACION!H56+CALIDAD!H56+'ADMON REC'!H56</f>
        <v>0</v>
      </c>
      <c r="I53" s="406">
        <f>ALIMENTARIAS!I56</f>
        <v>0</v>
      </c>
      <c r="J53" s="401"/>
      <c r="K53" s="319">
        <f t="shared" si="4"/>
        <v>6000</v>
      </c>
      <c r="M53" s="320">
        <f t="shared" si="3"/>
        <v>0</v>
      </c>
    </row>
    <row r="54" spans="1:13" ht="25.9" customHeight="1" x14ac:dyDescent="0.2">
      <c r="A54" s="399">
        <f>'PRES. TOTAL CALENARIZADA 2013'!A57</f>
        <v>2721</v>
      </c>
      <c r="B54" s="400" t="str">
        <f>'PRES. TOTAL CALENARIZADA 2013'!C57</f>
        <v>Prendas de seguridad y protección personal</v>
      </c>
      <c r="C54" s="401">
        <f>'PRES. TOTAL CALENARIZADA 2013'!D57</f>
        <v>12000</v>
      </c>
      <c r="D54" s="252"/>
      <c r="E54" s="405">
        <f>ELECTROMECANICA!E57+ALIMENTARIAS!E57+'INOVACION AGRICOLA'!E57+'SERVICIOS ESCOLARES'!E57+'DESARROLLO ACADEMICO'!E57+VINCULACIÓN!E57+PLANEACION!E57+CALIDAD!E57+'ADMON REC'!E57</f>
        <v>6000</v>
      </c>
      <c r="F54" s="406">
        <f>ELECTROMECANICA!F57+ALIMENTARIAS!F57+'INOVACION AGRICOLA'!F57+'SERVICIOS ESCOLARES'!F57+'DESARROLLO ACADEMICO'!F57+VINCULACIÓN!F57+PLANEACION!F57+CALIDAD!F57+'ADMON REC'!F57</f>
        <v>6000</v>
      </c>
      <c r="G54" s="406">
        <f>ELECTROMECANICA!G57+ALIMENTARIAS!G57+'INOVACION AGRICOLA'!G57+'SERVICIOS ESCOLARES'!G57+'DESARROLLO ACADEMICO'!G57+VINCULACIÓN!G57+PLANEACION!G57+CALIDAD!G57+'ADMON REC'!G57</f>
        <v>0</v>
      </c>
      <c r="H54" s="406">
        <f>ELECTROMECANICA!H57+ALIMENTARIAS!H57+'INOVACION AGRICOLA'!H57+'SERVICIOS ESCOLARES'!H57+'DESARROLLO ACADEMICO'!H57+VINCULACIÓN!H57+PLANEACION!H57+CALIDAD!H57+'ADMON REC'!H57</f>
        <v>0</v>
      </c>
      <c r="I54" s="406">
        <f>ALIMENTARIAS!I57</f>
        <v>0</v>
      </c>
      <c r="J54" s="401"/>
      <c r="K54" s="319">
        <f t="shared" si="4"/>
        <v>12000</v>
      </c>
      <c r="M54" s="320">
        <f t="shared" si="3"/>
        <v>0</v>
      </c>
    </row>
    <row r="55" spans="1:13" x14ac:dyDescent="0.2">
      <c r="A55" s="399">
        <f>'PRES. TOTAL CALENARIZADA 2013'!A58</f>
        <v>2731</v>
      </c>
      <c r="B55" s="400" t="str">
        <f>'PRES. TOTAL CALENARIZADA 2013'!C58</f>
        <v>Artículos deportivos</v>
      </c>
      <c r="C55" s="401">
        <f>'PRES. TOTAL CALENARIZADA 2013'!D58</f>
        <v>10000</v>
      </c>
      <c r="D55" s="252"/>
      <c r="E55" s="405">
        <f>ELECTROMECANICA!E58+ALIMENTARIAS!E58+'INOVACION AGRICOLA'!E58+'SERVICIOS ESCOLARES'!E58+'DESARROLLO ACADEMICO'!E58+VINCULACIÓN!E58+PLANEACION!E58+CALIDAD!E58+'ADMON REC'!E58</f>
        <v>5000</v>
      </c>
      <c r="F55" s="406">
        <f>ELECTROMECANICA!F58+ALIMENTARIAS!F58+'INOVACION AGRICOLA'!F58+'SERVICIOS ESCOLARES'!F58+'DESARROLLO ACADEMICO'!F58+VINCULACIÓN!F58+PLANEACION!F58+CALIDAD!F58+'ADMON REC'!F58</f>
        <v>5000</v>
      </c>
      <c r="G55" s="406">
        <f>ELECTROMECANICA!G58+ALIMENTARIAS!G58+'INOVACION AGRICOLA'!G58+'SERVICIOS ESCOLARES'!G58+'DESARROLLO ACADEMICO'!G58+VINCULACIÓN!G58+PLANEACION!G58+CALIDAD!G58+'ADMON REC'!G58</f>
        <v>0</v>
      </c>
      <c r="H55" s="406">
        <f>ELECTROMECANICA!H58+ALIMENTARIAS!H58+'INOVACION AGRICOLA'!H58+'SERVICIOS ESCOLARES'!H58+'DESARROLLO ACADEMICO'!H58+VINCULACIÓN!H58+PLANEACION!H58+CALIDAD!H58+'ADMON REC'!H58</f>
        <v>0</v>
      </c>
      <c r="I55" s="406">
        <f>ALIMENTARIAS!I58</f>
        <v>0</v>
      </c>
      <c r="J55" s="401"/>
      <c r="K55" s="319">
        <f t="shared" si="4"/>
        <v>10000</v>
      </c>
      <c r="M55" s="320">
        <f t="shared" si="3"/>
        <v>0</v>
      </c>
    </row>
    <row r="56" spans="1:13" x14ac:dyDescent="0.2">
      <c r="A56" s="399">
        <f>'PRES. TOTAL CALENARIZADA 2013'!A59</f>
        <v>2911</v>
      </c>
      <c r="B56" s="400" t="str">
        <f>'PRES. TOTAL CALENARIZADA 2013'!C59</f>
        <v>Herramientas menores</v>
      </c>
      <c r="C56" s="401">
        <f>'PRES. TOTAL CALENARIZADA 2013'!D59</f>
        <v>40000</v>
      </c>
      <c r="D56" s="252"/>
      <c r="E56" s="405">
        <f>ELECTROMECANICA!E59+ALIMENTARIAS!E59+'INOVACION AGRICOLA'!E59+'SERVICIOS ESCOLARES'!E59+'DESARROLLO ACADEMICO'!E59+VINCULACIÓN!E59+PLANEACION!E59+CALIDAD!E59+'ADMON REC'!E59</f>
        <v>10000</v>
      </c>
      <c r="F56" s="406">
        <f>ELECTROMECANICA!F59+ALIMENTARIAS!F59+'INOVACION AGRICOLA'!F59+'SERVICIOS ESCOLARES'!F59+'DESARROLLO ACADEMICO'!F59+VINCULACIÓN!F59+PLANEACION!F59+CALIDAD!F59+'ADMON REC'!F59</f>
        <v>10000</v>
      </c>
      <c r="G56" s="406">
        <f>ELECTROMECANICA!G59+ALIMENTARIAS!G59+'INOVACION AGRICOLA'!G59+'SERVICIOS ESCOLARES'!G59+'DESARROLLO ACADEMICO'!G59+VINCULACIÓN!G59+PLANEACION!G59+CALIDAD!G59+'ADMON REC'!G59</f>
        <v>0</v>
      </c>
      <c r="H56" s="406">
        <f>ELECTROMECANICA!H59+ALIMENTARIAS!H59+'INOVACION AGRICOLA'!H59+'SERVICIOS ESCOLARES'!H59+'DESARROLLO ACADEMICO'!H59+VINCULACIÓN!H59+PLANEACION!H59+CALIDAD!H59+'ADMON REC'!H59</f>
        <v>20000</v>
      </c>
      <c r="I56" s="406">
        <f>ALIMENTARIAS!I59</f>
        <v>0</v>
      </c>
      <c r="J56" s="401"/>
      <c r="K56" s="319">
        <f t="shared" si="4"/>
        <v>40000</v>
      </c>
      <c r="M56" s="320">
        <f t="shared" si="3"/>
        <v>0</v>
      </c>
    </row>
    <row r="57" spans="1:13" ht="21" customHeight="1" x14ac:dyDescent="0.2">
      <c r="A57" s="399">
        <f>'PRES. TOTAL CALENARIZADA 2013'!A60</f>
        <v>2921</v>
      </c>
      <c r="B57" s="400" t="str">
        <f>'PRES. TOTAL CALENARIZADA 2013'!C60</f>
        <v>Refacciones y accesorios menores de edificios</v>
      </c>
      <c r="C57" s="401">
        <f>'PRES. TOTAL CALENARIZADA 2013'!D60</f>
        <v>23000</v>
      </c>
      <c r="D57" s="252"/>
      <c r="E57" s="405">
        <f>ELECTROMECANICA!E60+ALIMENTARIAS!E60+'INOVACION AGRICOLA'!E60+'SERVICIOS ESCOLARES'!E60+'DESARROLLO ACADEMICO'!E60+VINCULACIÓN!E60+PLANEACION!E60+CALIDAD!E60+'ADMON REC'!E60</f>
        <v>4000</v>
      </c>
      <c r="F57" s="406">
        <f>ELECTROMECANICA!F60+ALIMENTARIAS!F60+'INOVACION AGRICOLA'!F60+'SERVICIOS ESCOLARES'!F60+'DESARROLLO ACADEMICO'!F60+VINCULACIÓN!F60+PLANEACION!F60+CALIDAD!F60+'ADMON REC'!F60</f>
        <v>4000</v>
      </c>
      <c r="G57" s="406">
        <f>ELECTROMECANICA!G60+ALIMENTARIAS!G60+'INOVACION AGRICOLA'!G60+'SERVICIOS ESCOLARES'!G60+'DESARROLLO ACADEMICO'!G60+VINCULACIÓN!G60+PLANEACION!G60+CALIDAD!G60+'ADMON REC'!G60</f>
        <v>0</v>
      </c>
      <c r="H57" s="406">
        <f>ELECTROMECANICA!H60+ALIMENTARIAS!H60+'INOVACION AGRICOLA'!H60+'SERVICIOS ESCOLARES'!H60+'DESARROLLO ACADEMICO'!H60+VINCULACIÓN!H60+PLANEACION!H60+CALIDAD!H60+'ADMON REC'!H60</f>
        <v>15000</v>
      </c>
      <c r="I57" s="406">
        <f>ALIMENTARIAS!I60</f>
        <v>0</v>
      </c>
      <c r="J57" s="401"/>
      <c r="K57" s="319">
        <f t="shared" si="4"/>
        <v>23000</v>
      </c>
      <c r="M57" s="320">
        <f t="shared" si="3"/>
        <v>0</v>
      </c>
    </row>
    <row r="58" spans="1:13" ht="33.75" x14ac:dyDescent="0.2">
      <c r="A58" s="399">
        <f>'PRES. TOTAL CALENARIZADA 2013'!A61</f>
        <v>2931</v>
      </c>
      <c r="B58" s="400" t="str">
        <f>'PRES. TOTAL CALENARIZADA 2013'!C61</f>
        <v>Refacciones y accesorios menores de mobiliario y equipo de administración, educacional y recreativo</v>
      </c>
      <c r="C58" s="401">
        <f>'PRES. TOTAL CALENARIZADA 2013'!D61</f>
        <v>3000</v>
      </c>
      <c r="D58" s="252"/>
      <c r="E58" s="405">
        <f>ELECTROMECANICA!E61+ALIMENTARIAS!E61+'INOVACION AGRICOLA'!E61+'SERVICIOS ESCOLARES'!E61+'DESARROLLO ACADEMICO'!E61+VINCULACIÓN!E61+PLANEACION!E61+CALIDAD!E61+'ADMON REC'!E61</f>
        <v>1500</v>
      </c>
      <c r="F58" s="406">
        <f>ELECTROMECANICA!F61+ALIMENTARIAS!F61+'INOVACION AGRICOLA'!F61+'SERVICIOS ESCOLARES'!F61+'DESARROLLO ACADEMICO'!F61+VINCULACIÓN!F61+PLANEACION!F61+CALIDAD!F61+'ADMON REC'!F61</f>
        <v>1500</v>
      </c>
      <c r="G58" s="406">
        <f>ELECTROMECANICA!G61+ALIMENTARIAS!G61+'INOVACION AGRICOLA'!G61+'SERVICIOS ESCOLARES'!G61+'DESARROLLO ACADEMICO'!G61+VINCULACIÓN!G61+PLANEACION!G61+CALIDAD!G61+'ADMON REC'!G61</f>
        <v>0</v>
      </c>
      <c r="H58" s="406">
        <f>ELECTROMECANICA!H61+ALIMENTARIAS!H61+'INOVACION AGRICOLA'!H61+'SERVICIOS ESCOLARES'!H61+'DESARROLLO ACADEMICO'!H61+VINCULACIÓN!H61+PLANEACION!H61+CALIDAD!H61+'ADMON REC'!H61</f>
        <v>0</v>
      </c>
      <c r="I58" s="406">
        <f>ALIMENTARIAS!I61</f>
        <v>0</v>
      </c>
      <c r="J58" s="401"/>
      <c r="K58" s="319">
        <f t="shared" si="4"/>
        <v>3000</v>
      </c>
      <c r="M58" s="320">
        <f t="shared" si="3"/>
        <v>0</v>
      </c>
    </row>
    <row r="59" spans="1:13" ht="33.75" x14ac:dyDescent="0.2">
      <c r="A59" s="399">
        <f>'PRES. TOTAL CALENARIZADA 2013'!A62</f>
        <v>2941</v>
      </c>
      <c r="B59" s="400" t="str">
        <f>'PRES. TOTAL CALENARIZADA 2013'!C62</f>
        <v>Refacciones y accesorios menores de equipo de computo y tecnologías de información</v>
      </c>
      <c r="C59" s="401">
        <f>'PRES. TOTAL CALENARIZADA 2013'!D62</f>
        <v>4000</v>
      </c>
      <c r="D59" s="252"/>
      <c r="E59" s="405">
        <f>ELECTROMECANICA!E62+ALIMENTARIAS!E62+'INOVACION AGRICOLA'!E62+'SERVICIOS ESCOLARES'!E62+'DESARROLLO ACADEMICO'!E62+VINCULACIÓN!E62+PLANEACION!E62+CALIDAD!E62+'ADMON REC'!E62</f>
        <v>2000</v>
      </c>
      <c r="F59" s="406">
        <f>ELECTROMECANICA!F62+ALIMENTARIAS!F62+'INOVACION AGRICOLA'!F62+'SERVICIOS ESCOLARES'!F62+'DESARROLLO ACADEMICO'!F62+VINCULACIÓN!F62+PLANEACION!F62+CALIDAD!F62+'ADMON REC'!F62</f>
        <v>2000</v>
      </c>
      <c r="G59" s="406">
        <f>ELECTROMECANICA!G62+ALIMENTARIAS!G62+'INOVACION AGRICOLA'!G62+'SERVICIOS ESCOLARES'!G62+'DESARROLLO ACADEMICO'!G62+VINCULACIÓN!G62+PLANEACION!G62+CALIDAD!G62+'ADMON REC'!G62</f>
        <v>0</v>
      </c>
      <c r="H59" s="406">
        <f>ELECTROMECANICA!H62+ALIMENTARIAS!H62+'INOVACION AGRICOLA'!H62+'SERVICIOS ESCOLARES'!H62+'DESARROLLO ACADEMICO'!H62+VINCULACIÓN!H62+PLANEACION!H62+CALIDAD!H62+'ADMON REC'!H62</f>
        <v>0</v>
      </c>
      <c r="I59" s="406">
        <f>ALIMENTARIAS!I62</f>
        <v>0</v>
      </c>
      <c r="J59" s="401"/>
      <c r="K59" s="319">
        <f t="shared" si="4"/>
        <v>4000</v>
      </c>
      <c r="M59" s="320">
        <f t="shared" si="3"/>
        <v>0</v>
      </c>
    </row>
    <row r="60" spans="1:13" ht="33.75" x14ac:dyDescent="0.2">
      <c r="A60" s="399">
        <f>'PRES. TOTAL CALENARIZADA 2013'!A63</f>
        <v>2951</v>
      </c>
      <c r="B60" s="400" t="str">
        <f>'PRES. TOTAL CALENARIZADA 2013'!C63</f>
        <v>Refacciones y accesorios menores de equipo e instrumental medico y de laboratorio</v>
      </c>
      <c r="C60" s="401">
        <f>'PRES. TOTAL CALENARIZADA 2013'!D63</f>
        <v>36000</v>
      </c>
      <c r="D60" s="252"/>
      <c r="E60" s="405">
        <f>ELECTROMECANICA!E63+ALIMENTARIAS!E63+'INOVACION AGRICOLA'!E63+'SERVICIOS ESCOLARES'!E63+'DESARROLLO ACADEMICO'!E63+VINCULACIÓN!E63+PLANEACION!E63+CALIDAD!E63+'ADMON REC'!E63</f>
        <v>18000</v>
      </c>
      <c r="F60" s="406">
        <f>ELECTROMECANICA!F63+ALIMENTARIAS!F63+'INOVACION AGRICOLA'!F63+'SERVICIOS ESCOLARES'!F63+'DESARROLLO ACADEMICO'!F63+VINCULACIÓN!F63+PLANEACION!F63+CALIDAD!F63+'ADMON REC'!F63</f>
        <v>18000</v>
      </c>
      <c r="G60" s="406">
        <f>ELECTROMECANICA!G63+ALIMENTARIAS!G63+'INOVACION AGRICOLA'!G63+'SERVICIOS ESCOLARES'!G63+'DESARROLLO ACADEMICO'!G63+VINCULACIÓN!G63+PLANEACION!G63+CALIDAD!G63+'ADMON REC'!G63</f>
        <v>0</v>
      </c>
      <c r="H60" s="406">
        <f>ELECTROMECANICA!H63+ALIMENTARIAS!H63+'INOVACION AGRICOLA'!H63+'SERVICIOS ESCOLARES'!H63+'DESARROLLO ACADEMICO'!H63+VINCULACIÓN!H63+PLANEACION!H63+CALIDAD!H63+'ADMON REC'!H63</f>
        <v>0</v>
      </c>
      <c r="I60" s="406">
        <f>ALIMENTARIAS!I63</f>
        <v>0</v>
      </c>
      <c r="J60" s="401"/>
      <c r="K60" s="319">
        <f t="shared" si="4"/>
        <v>36000</v>
      </c>
      <c r="M60" s="320">
        <f t="shared" si="3"/>
        <v>0</v>
      </c>
    </row>
    <row r="61" spans="1:13" ht="22.5" x14ac:dyDescent="0.2">
      <c r="A61" s="399">
        <f>'PRES. TOTAL CALENARIZADA 2013'!A64</f>
        <v>2961</v>
      </c>
      <c r="B61" s="400" t="str">
        <f>'PRES. TOTAL CALENARIZADA 2013'!C64</f>
        <v>Refacciones y accesorios menores de equipo de transporte</v>
      </c>
      <c r="C61" s="401">
        <f>'PRES. TOTAL CALENARIZADA 2013'!D64</f>
        <v>50000</v>
      </c>
      <c r="D61" s="252"/>
      <c r="E61" s="405">
        <f>ELECTROMECANICA!E64+ALIMENTARIAS!E64+'INOVACION AGRICOLA'!E64+'SERVICIOS ESCOLARES'!E64+'DESARROLLO ACADEMICO'!E64+VINCULACIÓN!E64+PLANEACION!E64+CALIDAD!E64+'ADMON REC'!E64</f>
        <v>25000</v>
      </c>
      <c r="F61" s="406">
        <f>ELECTROMECANICA!F64+ALIMENTARIAS!F64+'INOVACION AGRICOLA'!F64+'SERVICIOS ESCOLARES'!F64+'DESARROLLO ACADEMICO'!F64+VINCULACIÓN!F64+PLANEACION!F64+CALIDAD!F64+'ADMON REC'!F64</f>
        <v>25000</v>
      </c>
      <c r="G61" s="406">
        <f>ELECTROMECANICA!G64+ALIMENTARIAS!G64+'INOVACION AGRICOLA'!G64+'SERVICIOS ESCOLARES'!G64+'DESARROLLO ACADEMICO'!G64+VINCULACIÓN!G64+PLANEACION!G64+CALIDAD!G64+'ADMON REC'!G64</f>
        <v>0</v>
      </c>
      <c r="H61" s="406">
        <f>ELECTROMECANICA!H64+ALIMENTARIAS!H64+'INOVACION AGRICOLA'!H64+'SERVICIOS ESCOLARES'!H64+'DESARROLLO ACADEMICO'!H64+VINCULACIÓN!H64+PLANEACION!H64+CALIDAD!H64+'ADMON REC'!H64</f>
        <v>0</v>
      </c>
      <c r="I61" s="406">
        <f>ALIMENTARIAS!I64</f>
        <v>0</v>
      </c>
      <c r="J61" s="401"/>
      <c r="K61" s="319">
        <f t="shared" si="4"/>
        <v>50000</v>
      </c>
      <c r="M61" s="320">
        <f t="shared" si="3"/>
        <v>0</v>
      </c>
    </row>
    <row r="62" spans="1:13" ht="22.5" x14ac:dyDescent="0.2">
      <c r="A62" s="399">
        <f>'PRES. TOTAL CALENARIZADA 2013'!A65</f>
        <v>2981</v>
      </c>
      <c r="B62" s="400" t="str">
        <f>'PRES. TOTAL CALENARIZADA 2013'!C65</f>
        <v>Refacciones y accesorios menores de maquinaria y otros equipos</v>
      </c>
      <c r="C62" s="401">
        <f>'PRES. TOTAL CALENARIZADA 2013'!D65</f>
        <v>3000</v>
      </c>
      <c r="D62" s="252"/>
      <c r="E62" s="405">
        <f>ELECTROMECANICA!E65+ALIMENTARIAS!E65+'INOVACION AGRICOLA'!E65+'SERVICIOS ESCOLARES'!E65+'DESARROLLO ACADEMICO'!E65+VINCULACIÓN!E65+PLANEACION!E65+CALIDAD!E65+'ADMON REC'!E65</f>
        <v>1500</v>
      </c>
      <c r="F62" s="406">
        <f>ELECTROMECANICA!F65+ALIMENTARIAS!F65+'INOVACION AGRICOLA'!F65+'SERVICIOS ESCOLARES'!F65+'DESARROLLO ACADEMICO'!F65+VINCULACIÓN!F65+PLANEACION!F65+CALIDAD!F65+'ADMON REC'!F65</f>
        <v>1500</v>
      </c>
      <c r="G62" s="406">
        <f>ELECTROMECANICA!G65+ALIMENTARIAS!G65+'INOVACION AGRICOLA'!G65+'SERVICIOS ESCOLARES'!G65+'DESARROLLO ACADEMICO'!G65+VINCULACIÓN!G65+PLANEACION!G65+CALIDAD!G65+'ADMON REC'!G65</f>
        <v>0</v>
      </c>
      <c r="H62" s="406">
        <f>ELECTROMECANICA!H65+ALIMENTARIAS!H65+'INOVACION AGRICOLA'!H65+'SERVICIOS ESCOLARES'!H65+'DESARROLLO ACADEMICO'!H65+VINCULACIÓN!H65+PLANEACION!H65+CALIDAD!H65+'ADMON REC'!H65</f>
        <v>0</v>
      </c>
      <c r="I62" s="406">
        <f>ALIMENTARIAS!I65</f>
        <v>0</v>
      </c>
      <c r="J62" s="401"/>
      <c r="K62" s="319">
        <f t="shared" si="4"/>
        <v>3000</v>
      </c>
      <c r="M62" s="320">
        <f t="shared" si="3"/>
        <v>0</v>
      </c>
    </row>
    <row r="63" spans="1:13" ht="23.25" thickBot="1" x14ac:dyDescent="0.25">
      <c r="A63" s="402">
        <f>'PRES. TOTAL CALENARIZADA 2013'!A66</f>
        <v>2991</v>
      </c>
      <c r="B63" s="403" t="str">
        <f>'PRES. TOTAL CALENARIZADA 2013'!C66</f>
        <v>Refacciones y accesorios menores otros bienes muebles</v>
      </c>
      <c r="C63" s="404">
        <f>'PRES. TOTAL CALENARIZADA 2013'!D66</f>
        <v>6000</v>
      </c>
      <c r="D63" s="252"/>
      <c r="E63" s="407">
        <f>ELECTROMECANICA!E66+ALIMENTARIAS!E66+'INOVACION AGRICOLA'!E66+'SERVICIOS ESCOLARES'!E66+'DESARROLLO ACADEMICO'!E66+VINCULACIÓN!E66+PLANEACION!E66+CALIDAD!E66+'ADMON REC'!E66</f>
        <v>1500</v>
      </c>
      <c r="F63" s="408">
        <f>ELECTROMECANICA!F66+ALIMENTARIAS!F66+'INOVACION AGRICOLA'!F66+'SERVICIOS ESCOLARES'!F66+'DESARROLLO ACADEMICO'!F66+VINCULACIÓN!F66+PLANEACION!F66+CALIDAD!F66+'ADMON REC'!F66</f>
        <v>4500</v>
      </c>
      <c r="G63" s="408">
        <f>ELECTROMECANICA!G66+ALIMENTARIAS!G66+'INOVACION AGRICOLA'!G66+'SERVICIOS ESCOLARES'!G66+'DESARROLLO ACADEMICO'!G66+VINCULACIÓN!G66+PLANEACION!G66+CALIDAD!G66+'ADMON REC'!G66</f>
        <v>0</v>
      </c>
      <c r="H63" s="408">
        <f>ELECTROMECANICA!H66+ALIMENTARIAS!H66+'INOVACION AGRICOLA'!H66+'SERVICIOS ESCOLARES'!H66+'DESARROLLO ACADEMICO'!H66+VINCULACIÓN!H66+PLANEACION!H66+CALIDAD!H66+'ADMON REC'!H66</f>
        <v>0</v>
      </c>
      <c r="I63" s="408">
        <f>ALIMENTARIAS!I66</f>
        <v>0</v>
      </c>
      <c r="J63" s="404"/>
      <c r="K63" s="321">
        <f t="shared" si="4"/>
        <v>6000</v>
      </c>
      <c r="M63" s="322">
        <f t="shared" si="3"/>
        <v>0</v>
      </c>
    </row>
    <row r="64" spans="1:13" ht="20.25" customHeight="1" thickBot="1" x14ac:dyDescent="0.25">
      <c r="A64" s="275"/>
      <c r="B64" s="302" t="s">
        <v>242</v>
      </c>
      <c r="C64" s="303">
        <f>SUM(C26:C63)</f>
        <v>1511830.98</v>
      </c>
      <c r="D64" s="301"/>
      <c r="E64" s="303">
        <f t="shared" ref="E64:J64" si="5">SUM(E26:E63)</f>
        <v>406424.68</v>
      </c>
      <c r="F64" s="303">
        <f t="shared" si="5"/>
        <v>434200</v>
      </c>
      <c r="G64" s="303">
        <f t="shared" si="5"/>
        <v>68000</v>
      </c>
      <c r="H64" s="303">
        <f t="shared" si="5"/>
        <v>589011.26</v>
      </c>
      <c r="I64" s="303">
        <f t="shared" si="5"/>
        <v>14195.039999999999</v>
      </c>
      <c r="J64" s="303">
        <f t="shared" si="5"/>
        <v>0</v>
      </c>
      <c r="K64" s="325"/>
      <c r="M64" s="325"/>
    </row>
    <row r="65" spans="1:13" x14ac:dyDescent="0.2">
      <c r="A65" s="409">
        <f>'PRES. TOTAL CALENARIZADA 2013'!A68</f>
        <v>3111</v>
      </c>
      <c r="B65" s="410" t="str">
        <f>'PRES. TOTAL CALENARIZADA 2013'!C68</f>
        <v>Energía Eléctrica</v>
      </c>
      <c r="C65" s="411">
        <f>'PRES. TOTAL CALENARIZADA 2013'!D68</f>
        <v>390000</v>
      </c>
      <c r="D65" s="304"/>
      <c r="E65" s="412">
        <f>ELECTROMECANICA!E68+ALIMENTARIAS!E68+'INOVACION AGRICOLA'!E68+'SERVICIOS ESCOLARES'!E68+'DESARROLLO ACADEMICO'!E68+VINCULACIÓN!E68+PLANEACION!E68+CALIDAD!E68+'ADMON REC'!E68</f>
        <v>143536.95000000001</v>
      </c>
      <c r="F65" s="413">
        <f>ELECTROMECANICA!F68+ALIMENTARIAS!F68+'INOVACION AGRICOLA'!F68+'SERVICIOS ESCOLARES'!F68+'DESARROLLO ACADEMICO'!F68+VINCULACIÓN!F68+PLANEACION!F68+CALIDAD!F68+'ADMON REC'!F68</f>
        <v>180000</v>
      </c>
      <c r="G65" s="413">
        <f>ELECTROMECANICA!G68+ALIMENTARIAS!G68+'INOVACION AGRICOLA'!G68+'SERVICIOS ESCOLARES'!G68+'DESARROLLO ACADEMICO'!G68+VINCULACIÓN!G68+PLANEACION!G68+CALIDAD!G68+'ADMON REC'!G68</f>
        <v>0</v>
      </c>
      <c r="H65" s="413">
        <f>ELECTROMECANICA!H68+ALIMENTARIAS!H68+'INOVACION AGRICOLA'!H68+'SERVICIOS ESCOLARES'!H68+'DESARROLLO ACADEMICO'!H68+VINCULACIÓN!H68+PLANEACION!H68+CALIDAD!H68+'ADMON REC'!H68</f>
        <v>66463.05</v>
      </c>
      <c r="I65" s="413">
        <f>ALIMENTARIAS!I68</f>
        <v>0</v>
      </c>
      <c r="J65" s="411"/>
      <c r="K65" s="317">
        <f>E65+F65+G65+H65+I65</f>
        <v>390000</v>
      </c>
      <c r="L65" s="326"/>
      <c r="M65" s="318">
        <f t="shared" ref="M65:M101" si="6">C65-K65</f>
        <v>0</v>
      </c>
    </row>
    <row r="66" spans="1:13" x14ac:dyDescent="0.2">
      <c r="A66" s="399">
        <f>'PRES. TOTAL CALENARIZADA 2013'!A69</f>
        <v>3121</v>
      </c>
      <c r="B66" s="400" t="str">
        <f>'PRES. TOTAL CALENARIZADA 2013'!C69</f>
        <v>Gas</v>
      </c>
      <c r="C66" s="401">
        <f>'PRES. TOTAL CALENARIZADA 2013'!D69</f>
        <v>26000</v>
      </c>
      <c r="D66" s="304"/>
      <c r="E66" s="405">
        <f>ELECTROMECANICA!E69+ALIMENTARIAS!E69+'INOVACION AGRICOLA'!E69+'SERVICIOS ESCOLARES'!E69+'DESARROLLO ACADEMICO'!E69+VINCULACIÓN!E69+PLANEACION!E69+CALIDAD!E69+'ADMON REC'!E69</f>
        <v>13000</v>
      </c>
      <c r="F66" s="406">
        <f>ELECTROMECANICA!F69+ALIMENTARIAS!F69+'INOVACION AGRICOLA'!F69+'SERVICIOS ESCOLARES'!F69+'DESARROLLO ACADEMICO'!F69+VINCULACIÓN!F69+PLANEACION!F69+CALIDAD!F69+'ADMON REC'!F69</f>
        <v>13000</v>
      </c>
      <c r="G66" s="406">
        <f>ELECTROMECANICA!G69+ALIMENTARIAS!G69+'INOVACION AGRICOLA'!G69+'SERVICIOS ESCOLARES'!G69+'DESARROLLO ACADEMICO'!G69+VINCULACIÓN!G69+PLANEACION!G69+CALIDAD!G69+'ADMON REC'!G69</f>
        <v>0</v>
      </c>
      <c r="H66" s="406">
        <f>ELECTROMECANICA!H69+ALIMENTARIAS!H69+'INOVACION AGRICOLA'!H69+'SERVICIOS ESCOLARES'!H69+'DESARROLLO ACADEMICO'!H69+VINCULACIÓN!H69+PLANEACION!H69+CALIDAD!H69+'ADMON REC'!H69</f>
        <v>0</v>
      </c>
      <c r="I66" s="406">
        <f>ALIMENTARIAS!I69</f>
        <v>0</v>
      </c>
      <c r="J66" s="401"/>
      <c r="K66" s="319">
        <f t="shared" si="4"/>
        <v>26000</v>
      </c>
      <c r="L66" s="326"/>
      <c r="M66" s="320">
        <f t="shared" si="6"/>
        <v>0</v>
      </c>
    </row>
    <row r="67" spans="1:13" x14ac:dyDescent="0.2">
      <c r="A67" s="399">
        <f>'PRES. TOTAL CALENARIZADA 2013'!A70</f>
        <v>3141</v>
      </c>
      <c r="B67" s="400" t="str">
        <f>'PRES. TOTAL CALENARIZADA 2013'!C70</f>
        <v>Telefonía tradicional</v>
      </c>
      <c r="C67" s="401">
        <f>'PRES. TOTAL CALENARIZADA 2013'!D70</f>
        <v>0</v>
      </c>
      <c r="D67" s="304"/>
      <c r="E67" s="405">
        <f>ELECTROMECANICA!E70+ALIMENTARIAS!E70+'INOVACION AGRICOLA'!E70+'SERVICIOS ESCOLARES'!E70+'DESARROLLO ACADEMICO'!E70+VINCULACIÓN!E70+PLANEACION!E70+CALIDAD!E70+'ADMON REC'!E70</f>
        <v>0</v>
      </c>
      <c r="F67" s="406">
        <f>ELECTROMECANICA!F70+ALIMENTARIAS!F70+'INOVACION AGRICOLA'!F70+'SERVICIOS ESCOLARES'!F70+'DESARROLLO ACADEMICO'!F70+VINCULACIÓN!F70+PLANEACION!F70+CALIDAD!F70+'ADMON REC'!F70</f>
        <v>0</v>
      </c>
      <c r="G67" s="406">
        <f>ELECTROMECANICA!G70+ALIMENTARIAS!G70+'INOVACION AGRICOLA'!G70+'SERVICIOS ESCOLARES'!G70+'DESARROLLO ACADEMICO'!G70+VINCULACIÓN!G70+PLANEACION!G70+CALIDAD!G70+'ADMON REC'!G70</f>
        <v>0</v>
      </c>
      <c r="H67" s="406">
        <f>ELECTROMECANICA!H70+ALIMENTARIAS!H70+'INOVACION AGRICOLA'!H70+'SERVICIOS ESCOLARES'!H70+'DESARROLLO ACADEMICO'!H70+VINCULACIÓN!H70+PLANEACION!H70+CALIDAD!H70+'ADMON REC'!H70</f>
        <v>0</v>
      </c>
      <c r="I67" s="406">
        <f>ALIMENTARIAS!I70</f>
        <v>0</v>
      </c>
      <c r="J67" s="401"/>
      <c r="K67" s="319">
        <f t="shared" si="4"/>
        <v>0</v>
      </c>
      <c r="L67" s="326"/>
      <c r="M67" s="320">
        <f t="shared" si="6"/>
        <v>0</v>
      </c>
    </row>
    <row r="68" spans="1:13" x14ac:dyDescent="0.2">
      <c r="A68" s="399">
        <f>'PRES. TOTAL CALENARIZADA 2013'!A71</f>
        <v>3151</v>
      </c>
      <c r="B68" s="400" t="str">
        <f>'PRES. TOTAL CALENARIZADA 2013'!C71</f>
        <v>Telefonía celular</v>
      </c>
      <c r="C68" s="401">
        <f>'PRES. TOTAL CALENARIZADA 2013'!D71</f>
        <v>36200</v>
      </c>
      <c r="D68" s="304"/>
      <c r="E68" s="405">
        <f>ELECTROMECANICA!E71+ALIMENTARIAS!E71+'INOVACION AGRICOLA'!E71+'SERVICIOS ESCOLARES'!E71+'DESARROLLO ACADEMICO'!E71+VINCULACIÓN!E71+PLANEACION!E71+CALIDAD!E71+'ADMON REC'!E71</f>
        <v>15600</v>
      </c>
      <c r="F68" s="406">
        <f>ELECTROMECANICA!F71+ALIMENTARIAS!F71+'INOVACION AGRICOLA'!F71+'SERVICIOS ESCOLARES'!F71+'DESARROLLO ACADEMICO'!F71+VINCULACIÓN!F71+PLANEACION!F71+CALIDAD!F71+'ADMON REC'!F71</f>
        <v>15600</v>
      </c>
      <c r="G68" s="406">
        <f>ELECTROMECANICA!G71+ALIMENTARIAS!G71+'INOVACION AGRICOLA'!G71+'SERVICIOS ESCOLARES'!G71+'DESARROLLO ACADEMICO'!G71+VINCULACIÓN!G71+PLANEACION!G71+CALIDAD!G71+'ADMON REC'!G71</f>
        <v>0</v>
      </c>
      <c r="H68" s="406">
        <f>ELECTROMECANICA!H71+ALIMENTARIAS!H71+'INOVACION AGRICOLA'!H71+'SERVICIOS ESCOLARES'!H71+'DESARROLLO ACADEMICO'!H71+VINCULACIÓN!H71+PLANEACION!H71+CALIDAD!H71+'ADMON REC'!H71</f>
        <v>5000</v>
      </c>
      <c r="I68" s="406">
        <f>ALIMENTARIAS!I71</f>
        <v>0</v>
      </c>
      <c r="J68" s="401"/>
      <c r="K68" s="319">
        <f t="shared" si="4"/>
        <v>36200</v>
      </c>
      <c r="L68" s="326"/>
      <c r="M68" s="320">
        <f t="shared" si="6"/>
        <v>0</v>
      </c>
    </row>
    <row r="69" spans="1:13" ht="22.5" x14ac:dyDescent="0.2">
      <c r="A69" s="399">
        <f>'PRES. TOTAL CALENARIZADA 2013'!A72</f>
        <v>3171</v>
      </c>
      <c r="B69" s="400" t="str">
        <f>'PRES. TOTAL CALENARIZADA 2013'!C72</f>
        <v>Servicios de Acceso de Internet, Redesy Procesamiento de Información</v>
      </c>
      <c r="C69" s="401">
        <f>'PRES. TOTAL CALENARIZADA 2013'!D72</f>
        <v>377973.94</v>
      </c>
      <c r="D69" s="304"/>
      <c r="E69" s="405">
        <f>ELECTROMECANICA!E72+ALIMENTARIAS!E72+'INOVACION AGRICOLA'!E72+'SERVICIOS ESCOLARES'!E72+'DESARROLLO ACADEMICO'!E72+VINCULACIÓN!E72+PLANEACION!E72+CALIDAD!E72+'ADMON REC'!E72</f>
        <v>151218.51</v>
      </c>
      <c r="F69" s="406">
        <f>ELECTROMECANICA!F72+ALIMENTARIAS!F72+'INOVACION AGRICOLA'!F72+'SERVICIOS ESCOLARES'!F72+'DESARROLLO ACADEMICO'!F72+VINCULACIÓN!F72+PLANEACION!F72+CALIDAD!F72+'ADMON REC'!F72</f>
        <v>171755.43</v>
      </c>
      <c r="G69" s="406">
        <f>ELECTROMECANICA!G72+ALIMENTARIAS!G72+'INOVACION AGRICOLA'!G72+'SERVICIOS ESCOLARES'!G72+'DESARROLLO ACADEMICO'!G72+VINCULACIÓN!G72+PLANEACION!G72+CALIDAD!G72+'ADMON REC'!G72</f>
        <v>0</v>
      </c>
      <c r="H69" s="406">
        <f>ELECTROMECANICA!H72+ALIMENTARIAS!H72+'INOVACION AGRICOLA'!H72+'SERVICIOS ESCOLARES'!H72+'DESARROLLO ACADEMICO'!H72+VINCULACIÓN!H72+PLANEACION!H72+CALIDAD!H72+'ADMON REC'!H72</f>
        <v>55000</v>
      </c>
      <c r="I69" s="406">
        <f>ALIMENTARIAS!I72</f>
        <v>0</v>
      </c>
      <c r="J69" s="401"/>
      <c r="K69" s="319">
        <f t="shared" si="4"/>
        <v>377973.94</v>
      </c>
      <c r="L69" s="326"/>
      <c r="M69" s="320">
        <f t="shared" si="6"/>
        <v>0</v>
      </c>
    </row>
    <row r="70" spans="1:13" x14ac:dyDescent="0.2">
      <c r="A70" s="399">
        <f>'PRES. TOTAL CALENARIZADA 2013'!A73</f>
        <v>3181</v>
      </c>
      <c r="B70" s="400" t="str">
        <f>'PRES. TOTAL CALENARIZADA 2013'!C73</f>
        <v>Servicio Postal</v>
      </c>
      <c r="C70" s="401">
        <f>'PRES. TOTAL CALENARIZADA 2013'!D73</f>
        <v>28500</v>
      </c>
      <c r="D70" s="304"/>
      <c r="E70" s="405">
        <f>ELECTROMECANICA!E73+ALIMENTARIAS!E73+'INOVACION AGRICOLA'!E73+'SERVICIOS ESCOLARES'!E73+'DESARROLLO ACADEMICO'!E73+VINCULACIÓN!E73+PLANEACION!E73+CALIDAD!E73+'ADMON REC'!E73</f>
        <v>0</v>
      </c>
      <c r="F70" s="406">
        <f>ELECTROMECANICA!F73+ALIMENTARIAS!F73+'INOVACION AGRICOLA'!F73+'SERVICIOS ESCOLARES'!F73+'DESARROLLO ACADEMICO'!F73+VINCULACIÓN!F73+PLANEACION!F73+CALIDAD!F73+'ADMON REC'!F73</f>
        <v>8500</v>
      </c>
      <c r="G70" s="406">
        <f>ELECTROMECANICA!G73+ALIMENTARIAS!G73+'INOVACION AGRICOLA'!G73+'SERVICIOS ESCOLARES'!G73+'DESARROLLO ACADEMICO'!G73+VINCULACIÓN!G73+PLANEACION!G73+CALIDAD!G73+'ADMON REC'!G73</f>
        <v>0</v>
      </c>
      <c r="H70" s="406">
        <f>ELECTROMECANICA!H73+ALIMENTARIAS!H73+'INOVACION AGRICOLA'!H73+'SERVICIOS ESCOLARES'!H73+'DESARROLLO ACADEMICO'!H73+VINCULACIÓN!H73+PLANEACION!H73+CALIDAD!H73+'ADMON REC'!H73</f>
        <v>20000</v>
      </c>
      <c r="I70" s="406">
        <f>ALIMENTARIAS!I73</f>
        <v>0</v>
      </c>
      <c r="J70" s="401"/>
      <c r="K70" s="319">
        <f t="shared" si="4"/>
        <v>28500</v>
      </c>
      <c r="L70" s="326"/>
      <c r="M70" s="320">
        <f t="shared" si="6"/>
        <v>0</v>
      </c>
    </row>
    <row r="71" spans="1:13" x14ac:dyDescent="0.2">
      <c r="A71" s="399">
        <f>'PRES. TOTAL CALENARIZADA 2013'!A74</f>
        <v>3221</v>
      </c>
      <c r="B71" s="400" t="str">
        <f>'PRES. TOTAL CALENARIZADA 2013'!C74</f>
        <v>Arrendamientos de edificios y locales</v>
      </c>
      <c r="C71" s="401">
        <f>'PRES. TOTAL CALENARIZADA 2013'!D74</f>
        <v>31500</v>
      </c>
      <c r="D71" s="304"/>
      <c r="E71" s="405">
        <f>ELECTROMECANICA!E74+ALIMENTARIAS!E74+'INOVACION AGRICOLA'!E74+'SERVICIOS ESCOLARES'!E74+'DESARROLLO ACADEMICO'!E74+VINCULACIÓN!E74+PLANEACION!E74+CALIDAD!E74+'ADMON REC'!E74</f>
        <v>0</v>
      </c>
      <c r="F71" s="406">
        <f>ELECTROMECANICA!F74+ALIMENTARIAS!F74+'INOVACION AGRICOLA'!F74+'SERVICIOS ESCOLARES'!F74+'DESARROLLO ACADEMICO'!F74+VINCULACIÓN!F74+PLANEACION!F74+CALIDAD!F74+'ADMON REC'!F74</f>
        <v>31500</v>
      </c>
      <c r="G71" s="406">
        <f>ELECTROMECANICA!G74+ALIMENTARIAS!G74+'INOVACION AGRICOLA'!G74+'SERVICIOS ESCOLARES'!G74+'DESARROLLO ACADEMICO'!G74+VINCULACIÓN!G74+PLANEACION!G74+CALIDAD!G74+'ADMON REC'!G74</f>
        <v>0</v>
      </c>
      <c r="H71" s="406">
        <f>ELECTROMECANICA!H74+ALIMENTARIAS!H74+'INOVACION AGRICOLA'!H74+'SERVICIOS ESCOLARES'!H74+'DESARROLLO ACADEMICO'!H74+VINCULACIÓN!H74+PLANEACION!H74+CALIDAD!H74+'ADMON REC'!H74</f>
        <v>0</v>
      </c>
      <c r="I71" s="406">
        <f>ALIMENTARIAS!I74</f>
        <v>0</v>
      </c>
      <c r="J71" s="401"/>
      <c r="K71" s="319">
        <f t="shared" si="4"/>
        <v>31500</v>
      </c>
      <c r="L71" s="326"/>
      <c r="M71" s="320">
        <f t="shared" si="6"/>
        <v>0</v>
      </c>
    </row>
    <row r="72" spans="1:13" x14ac:dyDescent="0.2">
      <c r="A72" s="399">
        <f>'PRES. TOTAL CALENARIZADA 2013'!A75</f>
        <v>3231</v>
      </c>
      <c r="B72" s="400" t="str">
        <f>'PRES. TOTAL CALENARIZADA 2013'!C75</f>
        <v>Arrendamiento de mobiliario y equipo</v>
      </c>
      <c r="C72" s="401">
        <f>'PRES. TOTAL CALENARIZADA 2013'!D75</f>
        <v>5000</v>
      </c>
      <c r="D72" s="304"/>
      <c r="E72" s="405">
        <f>ELECTROMECANICA!E75+ALIMENTARIAS!E75+'INOVACION AGRICOLA'!E75+'SERVICIOS ESCOLARES'!E75+'DESARROLLO ACADEMICO'!E75+VINCULACIÓN!E75+PLANEACION!E75+CALIDAD!E75+'ADMON REC'!E75</f>
        <v>0</v>
      </c>
      <c r="F72" s="406">
        <f>ELECTROMECANICA!F75+ALIMENTARIAS!F75+'INOVACION AGRICOLA'!F75+'SERVICIOS ESCOLARES'!F75+'DESARROLLO ACADEMICO'!F75+VINCULACIÓN!F75+PLANEACION!F75+CALIDAD!F75+'ADMON REC'!F75</f>
        <v>0</v>
      </c>
      <c r="G72" s="406">
        <f>ELECTROMECANICA!G75+ALIMENTARIAS!G75+'INOVACION AGRICOLA'!G75+'SERVICIOS ESCOLARES'!G75+'DESARROLLO ACADEMICO'!G75+VINCULACIÓN!G75+PLANEACION!G75+CALIDAD!G75+'ADMON REC'!G75</f>
        <v>0</v>
      </c>
      <c r="H72" s="406">
        <f>ELECTROMECANICA!H75+ALIMENTARIAS!H75+'INOVACION AGRICOLA'!H75+'SERVICIOS ESCOLARES'!H75+'DESARROLLO ACADEMICO'!H75+VINCULACIÓN!H75+PLANEACION!H75+CALIDAD!H75+'ADMON REC'!H75</f>
        <v>5000</v>
      </c>
      <c r="I72" s="406">
        <f>ALIMENTARIAS!I75</f>
        <v>0</v>
      </c>
      <c r="J72" s="401"/>
      <c r="K72" s="319">
        <f t="shared" si="4"/>
        <v>5000</v>
      </c>
      <c r="L72" s="326"/>
      <c r="M72" s="320">
        <f t="shared" si="6"/>
        <v>0</v>
      </c>
    </row>
    <row r="73" spans="1:13" ht="22.5" x14ac:dyDescent="0.2">
      <c r="A73" s="399">
        <f>'PRES. TOTAL CALENARIZADA 2013'!A76</f>
        <v>3261</v>
      </c>
      <c r="B73" s="400" t="str">
        <f>'PRES. TOTAL CALENARIZADA 2013'!C76</f>
        <v>Arrendamiento de maquinaria otros equipos y maquinaria</v>
      </c>
      <c r="C73" s="401">
        <f>'PRES. TOTAL CALENARIZADA 2013'!D76</f>
        <v>9500</v>
      </c>
      <c r="D73" s="304"/>
      <c r="E73" s="405">
        <f>ELECTROMECANICA!E76+ALIMENTARIAS!E76+'INOVACION AGRICOLA'!E76+'SERVICIOS ESCOLARES'!E76+'DESARROLLO ACADEMICO'!E76+VINCULACIÓN!E76+PLANEACION!E76+CALIDAD!E76+'ADMON REC'!E76</f>
        <v>0</v>
      </c>
      <c r="F73" s="406">
        <f>ELECTROMECANICA!F76+ALIMENTARIAS!F76+'INOVACION AGRICOLA'!F76+'SERVICIOS ESCOLARES'!F76+'DESARROLLO ACADEMICO'!F76+VINCULACIÓN!F76+PLANEACION!F76+CALIDAD!F76+'ADMON REC'!F76</f>
        <v>9500</v>
      </c>
      <c r="G73" s="406">
        <f>ELECTROMECANICA!G76+ALIMENTARIAS!G76+'INOVACION AGRICOLA'!G76+'SERVICIOS ESCOLARES'!G76+'DESARROLLO ACADEMICO'!G76+VINCULACIÓN!G76+PLANEACION!G76+CALIDAD!G76+'ADMON REC'!G76</f>
        <v>0</v>
      </c>
      <c r="H73" s="406">
        <f>ELECTROMECANICA!H76+ALIMENTARIAS!H76+'INOVACION AGRICOLA'!H76+'SERVICIOS ESCOLARES'!H76+'DESARROLLO ACADEMICO'!H76+VINCULACIÓN!H76+PLANEACION!H76+CALIDAD!H76+'ADMON REC'!H76</f>
        <v>0</v>
      </c>
      <c r="I73" s="406">
        <f>ALIMENTARIAS!I76</f>
        <v>0</v>
      </c>
      <c r="J73" s="401"/>
      <c r="K73" s="319">
        <f t="shared" si="4"/>
        <v>9500</v>
      </c>
      <c r="L73" s="326"/>
      <c r="M73" s="320">
        <f t="shared" si="6"/>
        <v>0</v>
      </c>
    </row>
    <row r="74" spans="1:13" ht="22.5" x14ac:dyDescent="0.2">
      <c r="A74" s="399">
        <f>'PRES. TOTAL CALENARIZADA 2013'!A77</f>
        <v>3311</v>
      </c>
      <c r="B74" s="400" t="str">
        <f>'PRES. TOTAL CALENARIZADA 2013'!C77</f>
        <v>Servicios legales, de contabilidad, auditoría y relacionados</v>
      </c>
      <c r="C74" s="401">
        <f>'PRES. TOTAL CALENARIZADA 2013'!D77</f>
        <v>175000</v>
      </c>
      <c r="D74" s="304"/>
      <c r="E74" s="405">
        <f>ELECTROMECANICA!E77+ALIMENTARIAS!E77+'INOVACION AGRICOLA'!E77+'SERVICIOS ESCOLARES'!E77+'DESARROLLO ACADEMICO'!E77+VINCULACIÓN!E77+PLANEACION!E77+CALIDAD!E77+'ADMON REC'!E77</f>
        <v>0</v>
      </c>
      <c r="F74" s="406">
        <f>ELECTROMECANICA!F77+ALIMENTARIAS!F77+'INOVACION AGRICOLA'!F77+'SERVICIOS ESCOLARES'!F77+'DESARROLLO ACADEMICO'!F77+VINCULACIÓN!F77+PLANEACION!F77+CALIDAD!F77+'ADMON REC'!F77</f>
        <v>60000</v>
      </c>
      <c r="G74" s="406">
        <f>ELECTROMECANICA!G77+ALIMENTARIAS!G77+'INOVACION AGRICOLA'!G77+'SERVICIOS ESCOLARES'!G77+'DESARROLLO ACADEMICO'!G77+VINCULACIÓN!G77+PLANEACION!G77+CALIDAD!G77+'ADMON REC'!G77</f>
        <v>0</v>
      </c>
      <c r="H74" s="406">
        <f>ELECTROMECANICA!H77+ALIMENTARIAS!H77+'INOVACION AGRICOLA'!H77+'SERVICIOS ESCOLARES'!H77+'DESARROLLO ACADEMICO'!H77+VINCULACIÓN!H77+PLANEACION!H77+CALIDAD!H77+'ADMON REC'!H77</f>
        <v>115000</v>
      </c>
      <c r="I74" s="406">
        <f>ALIMENTARIAS!I77</f>
        <v>0</v>
      </c>
      <c r="J74" s="401"/>
      <c r="K74" s="319">
        <f t="shared" si="4"/>
        <v>175000</v>
      </c>
      <c r="L74" s="326"/>
      <c r="M74" s="320">
        <f t="shared" si="6"/>
        <v>0</v>
      </c>
    </row>
    <row r="75" spans="1:13" ht="22.5" x14ac:dyDescent="0.2">
      <c r="A75" s="399">
        <f>'PRES. TOTAL CALENARIZADA 2013'!A78</f>
        <v>3331</v>
      </c>
      <c r="B75" s="400" t="str">
        <f>'PRES. TOTAL CALENARIZADA 2013'!C78</f>
        <v>Servicios de Consultoria administrativa, procesos, tecnica y TI</v>
      </c>
      <c r="C75" s="401">
        <f>'PRES. TOTAL CALENARIZADA 2013'!D78</f>
        <v>177980.03</v>
      </c>
      <c r="D75" s="304"/>
      <c r="E75" s="405">
        <f>ELECTROMECANICA!E78+ALIMENTARIAS!E78+'INOVACION AGRICOLA'!E78+'SERVICIOS ESCOLARES'!E78+'DESARROLLO ACADEMICO'!E78+VINCULACIÓN!E78+PLANEACION!E78+CALIDAD!E78+'ADMON REC'!E78</f>
        <v>0</v>
      </c>
      <c r="F75" s="406">
        <f>ELECTROMECANICA!F78+ALIMENTARIAS!F78+'INOVACION AGRICOLA'!F78+'SERVICIOS ESCOLARES'!F78+'DESARROLLO ACADEMICO'!F78+VINCULACIÓN!F78+PLANEACION!F78+CALIDAD!F78+'ADMON REC'!F78</f>
        <v>62900.03</v>
      </c>
      <c r="G75" s="406">
        <f>ELECTROMECANICA!G78+ALIMENTARIAS!G78+'INOVACION AGRICOLA'!G78+'SERVICIOS ESCOLARES'!G78+'DESARROLLO ACADEMICO'!G78+VINCULACIÓN!G78+PLANEACION!G78+CALIDAD!G78+'ADMON REC'!G78</f>
        <v>0</v>
      </c>
      <c r="H75" s="406">
        <f>ELECTROMECANICA!H78+ALIMENTARIAS!H78+'INOVACION AGRICOLA'!H78+'SERVICIOS ESCOLARES'!H78+'DESARROLLO ACADEMICO'!H78+VINCULACIÓN!H78+PLANEACION!H78+CALIDAD!H78+'ADMON REC'!H78</f>
        <v>115080</v>
      </c>
      <c r="I75" s="406">
        <f>ALIMENTARIAS!I78</f>
        <v>0</v>
      </c>
      <c r="J75" s="401"/>
      <c r="K75" s="319">
        <f t="shared" si="4"/>
        <v>177980.03</v>
      </c>
      <c r="L75" s="326"/>
      <c r="M75" s="320">
        <f>C75-K75</f>
        <v>0</v>
      </c>
    </row>
    <row r="76" spans="1:13" x14ac:dyDescent="0.2">
      <c r="A76" s="399">
        <f>'PRES. TOTAL CALENARIZADA 2013'!A79</f>
        <v>3341</v>
      </c>
      <c r="B76" s="400" t="str">
        <f>'PRES. TOTAL CALENARIZADA 2013'!C79</f>
        <v>Capacitación institucional</v>
      </c>
      <c r="C76" s="401">
        <f>'PRES. TOTAL CALENARIZADA 2013'!D79</f>
        <v>30000</v>
      </c>
      <c r="D76" s="304"/>
      <c r="E76" s="405">
        <f>ELECTROMECANICA!E79+ALIMENTARIAS!E79+'INOVACION AGRICOLA'!E79+'SERVICIOS ESCOLARES'!E79+'DESARROLLO ACADEMICO'!E79+VINCULACIÓN!E79+PLANEACION!E79+CALIDAD!E79+'ADMON REC'!E79</f>
        <v>0</v>
      </c>
      <c r="F76" s="406">
        <f>ELECTROMECANICA!F79+ALIMENTARIAS!F79+'INOVACION AGRICOLA'!F79+'SERVICIOS ESCOLARES'!F79+'DESARROLLO ACADEMICO'!F79+VINCULACIÓN!F79+PLANEACION!F79+CALIDAD!F79+'ADMON REC'!F79</f>
        <v>30000</v>
      </c>
      <c r="G76" s="406">
        <f>ELECTROMECANICA!G79+ALIMENTARIAS!G79+'INOVACION AGRICOLA'!G79+'SERVICIOS ESCOLARES'!G79+'DESARROLLO ACADEMICO'!G79+VINCULACIÓN!G79+PLANEACION!G79+CALIDAD!G79+'ADMON REC'!G79</f>
        <v>0</v>
      </c>
      <c r="H76" s="406">
        <f>ELECTROMECANICA!H79+ALIMENTARIAS!H79+'INOVACION AGRICOLA'!H79+'SERVICIOS ESCOLARES'!H79+'DESARROLLO ACADEMICO'!H79+VINCULACIÓN!H79+PLANEACION!H79+CALIDAD!H79+'ADMON REC'!H79</f>
        <v>0</v>
      </c>
      <c r="I76" s="406">
        <f>ALIMENTARIAS!I79</f>
        <v>0</v>
      </c>
      <c r="J76" s="401"/>
      <c r="K76" s="319">
        <f t="shared" si="4"/>
        <v>30000</v>
      </c>
      <c r="L76" s="326"/>
      <c r="M76" s="320">
        <f t="shared" si="6"/>
        <v>0</v>
      </c>
    </row>
    <row r="77" spans="1:13" x14ac:dyDescent="0.2">
      <c r="A77" s="399">
        <f>'PRES. TOTAL CALENARIZADA 2013'!A80</f>
        <v>3342</v>
      </c>
      <c r="B77" s="400" t="str">
        <f>'PRES. TOTAL CALENARIZADA 2013'!C80</f>
        <v>Capacitación especializada</v>
      </c>
      <c r="C77" s="401">
        <f>'PRES. TOTAL CALENARIZADA 2013'!D80</f>
        <v>110000</v>
      </c>
      <c r="D77" s="304"/>
      <c r="E77" s="405">
        <f>ELECTROMECANICA!E80+ALIMENTARIAS!E80+'INOVACION AGRICOLA'!E80+'SERVICIOS ESCOLARES'!E80+'DESARROLLO ACADEMICO'!E80+VINCULACIÓN!E80+PLANEACION!E80+CALIDAD!E80+'ADMON REC'!E80</f>
        <v>0</v>
      </c>
      <c r="F77" s="406">
        <f>ELECTROMECANICA!F80+ALIMENTARIAS!F80+'INOVACION AGRICOLA'!F80+'SERVICIOS ESCOLARES'!F80+'DESARROLLO ACADEMICO'!F80+VINCULACIÓN!F80+PLANEACION!F80+CALIDAD!F80+'ADMON REC'!F80</f>
        <v>110000</v>
      </c>
      <c r="G77" s="406">
        <f>ELECTROMECANICA!G80+ALIMENTARIAS!G80+'INOVACION AGRICOLA'!G80+'SERVICIOS ESCOLARES'!G80+'DESARROLLO ACADEMICO'!G80+VINCULACIÓN!G80+PLANEACION!G80+CALIDAD!G80+'ADMON REC'!G80</f>
        <v>0</v>
      </c>
      <c r="H77" s="406">
        <f>ELECTROMECANICA!H80+ALIMENTARIAS!H80+'INOVACION AGRICOLA'!H80+'SERVICIOS ESCOLARES'!H80+'DESARROLLO ACADEMICO'!H80+VINCULACIÓN!H80+PLANEACION!H80+CALIDAD!H80+'ADMON REC'!H80</f>
        <v>0</v>
      </c>
      <c r="I77" s="406">
        <f>ALIMENTARIAS!I80</f>
        <v>0</v>
      </c>
      <c r="J77" s="401"/>
      <c r="K77" s="319">
        <f t="shared" si="4"/>
        <v>110000</v>
      </c>
      <c r="L77" s="326"/>
      <c r="M77" s="320">
        <f t="shared" si="6"/>
        <v>0</v>
      </c>
    </row>
    <row r="78" spans="1:13" ht="22.5" x14ac:dyDescent="0.2">
      <c r="A78" s="399">
        <f>'PRES. TOTAL CALENARIZADA 2013'!A81</f>
        <v>3361</v>
      </c>
      <c r="B78" s="400" t="str">
        <f>'PRES. TOTAL CALENARIZADA 2013'!C81</f>
        <v>Servicios de apoyo administrativo, fotocopiado</v>
      </c>
      <c r="C78" s="401">
        <f>'PRES. TOTAL CALENARIZADA 2013'!D81</f>
        <v>20000</v>
      </c>
      <c r="D78" s="304"/>
      <c r="E78" s="405">
        <f>ELECTROMECANICA!E81+ALIMENTARIAS!E81+'INOVACION AGRICOLA'!E81+'SERVICIOS ESCOLARES'!E81+'DESARROLLO ACADEMICO'!E81+VINCULACIÓN!E81+PLANEACION!E81+CALIDAD!E81+'ADMON REC'!E81</f>
        <v>0</v>
      </c>
      <c r="F78" s="406">
        <f>ELECTROMECANICA!F81+ALIMENTARIAS!F81+'INOVACION AGRICOLA'!F81+'SERVICIOS ESCOLARES'!F81+'DESARROLLO ACADEMICO'!F81+VINCULACIÓN!F81+PLANEACION!F81+CALIDAD!F81+'ADMON REC'!F81</f>
        <v>15000</v>
      </c>
      <c r="G78" s="406">
        <f>ELECTROMECANICA!G81+ALIMENTARIAS!G81+'INOVACION AGRICOLA'!G81+'SERVICIOS ESCOLARES'!G81+'DESARROLLO ACADEMICO'!G81+VINCULACIÓN!G81+PLANEACION!G81+CALIDAD!G81+'ADMON REC'!G81</f>
        <v>0</v>
      </c>
      <c r="H78" s="406">
        <f>ELECTROMECANICA!H81+ALIMENTARIAS!H81+'INOVACION AGRICOLA'!H81+'SERVICIOS ESCOLARES'!H81+'DESARROLLO ACADEMICO'!H81+VINCULACIÓN!H81+PLANEACION!H81+CALIDAD!H81+'ADMON REC'!H81</f>
        <v>5000</v>
      </c>
      <c r="I78" s="406">
        <f>ALIMENTARIAS!I81</f>
        <v>0</v>
      </c>
      <c r="J78" s="401"/>
      <c r="K78" s="319">
        <f t="shared" si="4"/>
        <v>20000</v>
      </c>
      <c r="L78" s="326"/>
      <c r="M78" s="320">
        <f t="shared" si="6"/>
        <v>0</v>
      </c>
    </row>
    <row r="79" spans="1:13" x14ac:dyDescent="0.2">
      <c r="A79" s="399">
        <f>'PRES. TOTAL CALENARIZADA 2013'!A82</f>
        <v>3362</v>
      </c>
      <c r="B79" s="400" t="str">
        <f>'PRES. TOTAL CALENARIZADA 2013'!C82</f>
        <v>Impresiones de papeleria oficial</v>
      </c>
      <c r="C79" s="401">
        <f>'PRES. TOTAL CALENARIZADA 2013'!D82</f>
        <v>40000</v>
      </c>
      <c r="D79" s="304"/>
      <c r="E79" s="405">
        <f>ELECTROMECANICA!E82+ALIMENTARIAS!E82+'INOVACION AGRICOLA'!E82+'SERVICIOS ESCOLARES'!E82+'DESARROLLO ACADEMICO'!E82+VINCULACIÓN!E82+PLANEACION!E82+CALIDAD!E82+'ADMON REC'!E82</f>
        <v>0</v>
      </c>
      <c r="F79" s="406">
        <f>ELECTROMECANICA!F82+ALIMENTARIAS!F82+'INOVACION AGRICOLA'!F82+'SERVICIOS ESCOLARES'!F82+'DESARROLLO ACADEMICO'!F82+VINCULACIÓN!F82+PLANEACION!F82+CALIDAD!F82+'ADMON REC'!F82</f>
        <v>20000</v>
      </c>
      <c r="G79" s="406">
        <f>ELECTROMECANICA!G82+ALIMENTARIAS!G82+'INOVACION AGRICOLA'!G82+'SERVICIOS ESCOLARES'!G82+'DESARROLLO ACADEMICO'!G82+VINCULACIÓN!G82+PLANEACION!G82+CALIDAD!G82+'ADMON REC'!G82</f>
        <v>0</v>
      </c>
      <c r="H79" s="406">
        <f>ELECTROMECANICA!H82+ALIMENTARIAS!H82+'INOVACION AGRICOLA'!H82+'SERVICIOS ESCOLARES'!H82+'DESARROLLO ACADEMICO'!H82+VINCULACIÓN!H82+PLANEACION!H82+CALIDAD!H82+'ADMON REC'!H82</f>
        <v>20000</v>
      </c>
      <c r="I79" s="406">
        <f>ALIMENTARIAS!I82</f>
        <v>0</v>
      </c>
      <c r="J79" s="401"/>
      <c r="K79" s="319">
        <f t="shared" si="4"/>
        <v>40000</v>
      </c>
      <c r="L79" s="326"/>
      <c r="M79" s="320">
        <f t="shared" si="6"/>
        <v>0</v>
      </c>
    </row>
    <row r="80" spans="1:13" x14ac:dyDescent="0.2">
      <c r="A80" s="399">
        <f>'PRES. TOTAL CALENARIZADA 2013'!A83</f>
        <v>3381</v>
      </c>
      <c r="B80" s="400" t="str">
        <f>'PRES. TOTAL CALENARIZADA 2013'!C83</f>
        <v>Servicios de vigilancia</v>
      </c>
      <c r="C80" s="401">
        <f>'PRES. TOTAL CALENARIZADA 2013'!D83</f>
        <v>0</v>
      </c>
      <c r="D80" s="304"/>
      <c r="E80" s="405">
        <f>ELECTROMECANICA!E83+ALIMENTARIAS!E83+'INOVACION AGRICOLA'!E83+'SERVICIOS ESCOLARES'!E83+'DESARROLLO ACADEMICO'!E83+VINCULACIÓN!E83+PLANEACION!E83+CALIDAD!E83+'ADMON REC'!E83</f>
        <v>0</v>
      </c>
      <c r="F80" s="406">
        <f>ELECTROMECANICA!F83+ALIMENTARIAS!F83+'INOVACION AGRICOLA'!F83+'SERVICIOS ESCOLARES'!F83+'DESARROLLO ACADEMICO'!F83+VINCULACIÓN!F83+PLANEACION!F83+CALIDAD!F83+'ADMON REC'!F83</f>
        <v>0</v>
      </c>
      <c r="G80" s="406">
        <f>ELECTROMECANICA!G83+ALIMENTARIAS!G83+'INOVACION AGRICOLA'!G83+'SERVICIOS ESCOLARES'!G83+'DESARROLLO ACADEMICO'!G83+VINCULACIÓN!G83+PLANEACION!G83+CALIDAD!G83+'ADMON REC'!G83</f>
        <v>0</v>
      </c>
      <c r="H80" s="406">
        <f>ELECTROMECANICA!H83+ALIMENTARIAS!H83+'INOVACION AGRICOLA'!H83+'SERVICIOS ESCOLARES'!H83+'DESARROLLO ACADEMICO'!H83+VINCULACIÓN!H83+PLANEACION!H83+CALIDAD!H83+'ADMON REC'!H83</f>
        <v>0</v>
      </c>
      <c r="I80" s="406">
        <f>ALIMENTARIAS!I83</f>
        <v>0</v>
      </c>
      <c r="J80" s="401"/>
      <c r="K80" s="319">
        <f t="shared" si="4"/>
        <v>0</v>
      </c>
      <c r="L80" s="326"/>
      <c r="M80" s="320">
        <f t="shared" si="6"/>
        <v>0</v>
      </c>
    </row>
    <row r="81" spans="1:13" ht="22.5" x14ac:dyDescent="0.2">
      <c r="A81" s="399">
        <f>'PRES. TOTAL CALENARIZADA 2013'!A84</f>
        <v>3391</v>
      </c>
      <c r="B81" s="400" t="str">
        <f>'PRES. TOTAL CALENARIZADA 2013'!C84</f>
        <v>Servicios profesionales, científicos y técnicos integrales</v>
      </c>
      <c r="C81" s="401">
        <f>'PRES. TOTAL CALENARIZADA 2013'!D84</f>
        <v>524000</v>
      </c>
      <c r="D81" s="304"/>
      <c r="E81" s="405">
        <f>ELECTROMECANICA!E84+ALIMENTARIAS!E84+'INOVACION AGRICOLA'!E84+'SERVICIOS ESCOLARES'!E84+'DESARROLLO ACADEMICO'!E84+VINCULACIÓN!E84+PLANEACION!E84+CALIDAD!E84+'ADMON REC'!E84</f>
        <v>0</v>
      </c>
      <c r="F81" s="406">
        <f>ELECTROMECANICA!F84+ALIMENTARIAS!F84+'INOVACION AGRICOLA'!F84+'SERVICIOS ESCOLARES'!F84+'DESARROLLO ACADEMICO'!F84+VINCULACIÓN!F84+PLANEACION!F84+CALIDAD!F84+'ADMON REC'!F84</f>
        <v>0</v>
      </c>
      <c r="G81" s="406">
        <f>ELECTROMECANICA!G84+ALIMENTARIAS!G84+'INOVACION AGRICOLA'!G84+'SERVICIOS ESCOLARES'!G84+'DESARROLLO ACADEMICO'!G84+VINCULACIÓN!G84+PLANEACION!G84+CALIDAD!G84+'ADMON REC'!G84</f>
        <v>0</v>
      </c>
      <c r="H81" s="406">
        <f>ELECTROMECANICA!H84+ALIMENTARIAS!H84+'INOVACION AGRICOLA'!H84+'SERVICIOS ESCOLARES'!H84+'DESARROLLO ACADEMICO'!H84+VINCULACIÓN!H84+PLANEACION!H84+CALIDAD!H84+'ADMON REC'!H84</f>
        <v>380000</v>
      </c>
      <c r="I81" s="406">
        <f>ALIMENTARIAS!I84</f>
        <v>64000</v>
      </c>
      <c r="J81" s="401">
        <f>'DESARROLLO ACADEMICO'!I84</f>
        <v>80000</v>
      </c>
      <c r="K81" s="319">
        <f>E81+F81+G81+H81+I81+J81</f>
        <v>524000</v>
      </c>
      <c r="L81" s="326"/>
      <c r="M81" s="320">
        <f t="shared" si="6"/>
        <v>0</v>
      </c>
    </row>
    <row r="82" spans="1:13" x14ac:dyDescent="0.2">
      <c r="A82" s="399">
        <f>'PRES. TOTAL CALENARIZADA 2013'!A85</f>
        <v>3411</v>
      </c>
      <c r="B82" s="400" t="str">
        <f>'PRES. TOTAL CALENARIZADA 2013'!C85</f>
        <v>Servicios financieros y bancarios</v>
      </c>
      <c r="C82" s="401">
        <f>'PRES. TOTAL CALENARIZADA 2013'!D85</f>
        <v>14600</v>
      </c>
      <c r="D82" s="304"/>
      <c r="E82" s="405">
        <f>ELECTROMECANICA!E85+ALIMENTARIAS!E85+'INOVACION AGRICOLA'!E85+'SERVICIOS ESCOLARES'!E85+'DESARROLLO ACADEMICO'!E85+VINCULACIÓN!E85+PLANEACION!E85+CALIDAD!E85+'ADMON REC'!E85</f>
        <v>0</v>
      </c>
      <c r="F82" s="406">
        <f>ELECTROMECANICA!F85+ALIMENTARIAS!F85+'INOVACION AGRICOLA'!F85+'SERVICIOS ESCOLARES'!F85+'DESARROLLO ACADEMICO'!F85+VINCULACIÓN!F85+PLANEACION!F85+CALIDAD!F85+'ADMON REC'!F85</f>
        <v>9600</v>
      </c>
      <c r="G82" s="406">
        <f>ELECTROMECANICA!G85+ALIMENTARIAS!G85+'INOVACION AGRICOLA'!G85+'SERVICIOS ESCOLARES'!G85+'DESARROLLO ACADEMICO'!G85+VINCULACIÓN!G85+PLANEACION!G85+CALIDAD!G85+'ADMON REC'!G85</f>
        <v>0</v>
      </c>
      <c r="H82" s="406">
        <f>ELECTROMECANICA!H85+ALIMENTARIAS!H85+'INOVACION AGRICOLA'!H85+'SERVICIOS ESCOLARES'!H85+'DESARROLLO ACADEMICO'!H85+VINCULACIÓN!H85+PLANEACION!H85+CALIDAD!H85+'ADMON REC'!H85</f>
        <v>5000</v>
      </c>
      <c r="I82" s="406">
        <f>ALIMENTARIAS!I85</f>
        <v>0</v>
      </c>
      <c r="J82" s="401"/>
      <c r="K82" s="319">
        <f t="shared" si="4"/>
        <v>14600</v>
      </c>
      <c r="L82" s="326"/>
      <c r="M82" s="320">
        <f t="shared" si="6"/>
        <v>0</v>
      </c>
    </row>
    <row r="83" spans="1:13" x14ac:dyDescent="0.2">
      <c r="A83" s="399">
        <f>'PRES. TOTAL CALENARIZADA 2013'!A86</f>
        <v>3451</v>
      </c>
      <c r="B83" s="400" t="str">
        <f>'PRES. TOTAL CALENARIZADA 2013'!C86</f>
        <v>Seguros de bienes patrimoniales</v>
      </c>
      <c r="C83" s="401">
        <f>'PRES. TOTAL CALENARIZADA 2013'!D86</f>
        <v>351098.1</v>
      </c>
      <c r="D83" s="304"/>
      <c r="E83" s="405">
        <f>ELECTROMECANICA!E86+ALIMENTARIAS!E86+'INOVACION AGRICOLA'!E86+'SERVICIOS ESCOLARES'!E86+'DESARROLLO ACADEMICO'!E86+VINCULACIÓN!E86+PLANEACION!E86+CALIDAD!E86+'ADMON REC'!E86</f>
        <v>0</v>
      </c>
      <c r="F83" s="406">
        <f>ELECTROMECANICA!F86+ALIMENTARIAS!F86+'INOVACION AGRICOLA'!F86+'SERVICIOS ESCOLARES'!F86+'DESARROLLO ACADEMICO'!F86+VINCULACIÓN!F86+PLANEACION!F86+CALIDAD!F86+'ADMON REC'!F86</f>
        <v>71602.539999999994</v>
      </c>
      <c r="G83" s="406">
        <f>ELECTROMECANICA!G86+ALIMENTARIAS!G86+'INOVACION AGRICOLA'!G86+'SERVICIOS ESCOLARES'!G86+'DESARROLLO ACADEMICO'!G86+VINCULACIÓN!G86+PLANEACION!G86+CALIDAD!G86+'ADMON REC'!G86</f>
        <v>0</v>
      </c>
      <c r="H83" s="406">
        <f>ELECTROMECANICA!H86+ALIMENTARIAS!H86+'INOVACION AGRICOLA'!H86+'SERVICIOS ESCOLARES'!H86+'DESARROLLO ACADEMICO'!H86+VINCULACIÓN!H86+PLANEACION!H86+CALIDAD!H86+'ADMON REC'!H86</f>
        <v>279495.56</v>
      </c>
      <c r="I83" s="406">
        <f>ALIMENTARIAS!I86</f>
        <v>0</v>
      </c>
      <c r="J83" s="401"/>
      <c r="K83" s="319">
        <f t="shared" si="4"/>
        <v>351098.1</v>
      </c>
      <c r="L83" s="326"/>
      <c r="M83" s="320">
        <f t="shared" si="6"/>
        <v>0</v>
      </c>
    </row>
    <row r="84" spans="1:13" x14ac:dyDescent="0.2">
      <c r="A84" s="399">
        <f>'PRES. TOTAL CALENARIZADA 2013'!A87</f>
        <v>3471</v>
      </c>
      <c r="B84" s="400" t="str">
        <f>'PRES. TOTAL CALENARIZADA 2013'!C87</f>
        <v>fletes y maniobras</v>
      </c>
      <c r="C84" s="401">
        <f>'PRES. TOTAL CALENARIZADA 2013'!D87</f>
        <v>3000</v>
      </c>
      <c r="D84" s="304"/>
      <c r="E84" s="405">
        <f>ELECTROMECANICA!E87+ALIMENTARIAS!E87+'INOVACION AGRICOLA'!E87+'SERVICIOS ESCOLARES'!E87+'DESARROLLO ACADEMICO'!E87+VINCULACIÓN!E87+PLANEACION!E87+CALIDAD!E87+'ADMON REC'!E87</f>
        <v>0</v>
      </c>
      <c r="F84" s="406">
        <f>ELECTROMECANICA!F87+ALIMENTARIAS!F87+'INOVACION AGRICOLA'!F87+'SERVICIOS ESCOLARES'!F87+'DESARROLLO ACADEMICO'!F87+VINCULACIÓN!F87+PLANEACION!F87+CALIDAD!F87+'ADMON REC'!F87</f>
        <v>3000</v>
      </c>
      <c r="G84" s="406">
        <f>ELECTROMECANICA!G87+ALIMENTARIAS!G87+'INOVACION AGRICOLA'!G87+'SERVICIOS ESCOLARES'!G87+'DESARROLLO ACADEMICO'!G87+VINCULACIÓN!G87+PLANEACION!G87+CALIDAD!G87+'ADMON REC'!G87</f>
        <v>0</v>
      </c>
      <c r="H84" s="406">
        <f>ELECTROMECANICA!H87+ALIMENTARIAS!H87+'INOVACION AGRICOLA'!H87+'SERVICIOS ESCOLARES'!H87+'DESARROLLO ACADEMICO'!H87+VINCULACIÓN!H87+PLANEACION!H87+CALIDAD!H87+'ADMON REC'!H87</f>
        <v>0</v>
      </c>
      <c r="I84" s="406">
        <f>ALIMENTARIAS!I87</f>
        <v>0</v>
      </c>
      <c r="J84" s="401"/>
      <c r="K84" s="319">
        <f t="shared" si="4"/>
        <v>3000</v>
      </c>
      <c r="L84" s="326"/>
      <c r="M84" s="320">
        <f t="shared" si="6"/>
        <v>0</v>
      </c>
    </row>
    <row r="85" spans="1:13" ht="22.5" x14ac:dyDescent="0.2">
      <c r="A85" s="399">
        <f>'PRES. TOTAL CALENARIZADA 2013'!A88</f>
        <v>3511</v>
      </c>
      <c r="B85" s="400" t="str">
        <f>'PRES. TOTAL CALENARIZADA 2013'!C88</f>
        <v>Conservacion y mantenimiento menor de inmuebles</v>
      </c>
      <c r="C85" s="401">
        <f>'PRES. TOTAL CALENARIZADA 2013'!D88</f>
        <v>120000</v>
      </c>
      <c r="D85" s="304"/>
      <c r="E85" s="405">
        <f>ELECTROMECANICA!E88+ALIMENTARIAS!E88+'INOVACION AGRICOLA'!E88+'SERVICIOS ESCOLARES'!E88+'DESARROLLO ACADEMICO'!E88+VINCULACIÓN!E88+PLANEACION!E88+CALIDAD!E88+'ADMON REC'!E88</f>
        <v>0</v>
      </c>
      <c r="F85" s="406">
        <f>ELECTROMECANICA!F88+ALIMENTARIAS!F88+'INOVACION AGRICOLA'!F88+'SERVICIOS ESCOLARES'!F88+'DESARROLLO ACADEMICO'!F88+VINCULACIÓN!F88+PLANEACION!F88+CALIDAD!F88+'ADMON REC'!F88</f>
        <v>100000</v>
      </c>
      <c r="G85" s="406">
        <f>ELECTROMECANICA!G88+ALIMENTARIAS!G88+'INOVACION AGRICOLA'!G88+'SERVICIOS ESCOLARES'!G88+'DESARROLLO ACADEMICO'!G88+VINCULACIÓN!G88+PLANEACION!G88+CALIDAD!G88+'ADMON REC'!G88</f>
        <v>0</v>
      </c>
      <c r="H85" s="406">
        <f>ELECTROMECANICA!H88+ALIMENTARIAS!H88+'INOVACION AGRICOLA'!H88+'SERVICIOS ESCOLARES'!H88+'DESARROLLO ACADEMICO'!H88+VINCULACIÓN!H88+PLANEACION!H88+CALIDAD!H88+'ADMON REC'!H88</f>
        <v>20000</v>
      </c>
      <c r="I85" s="406">
        <f>ALIMENTARIAS!I88</f>
        <v>0</v>
      </c>
      <c r="J85" s="401"/>
      <c r="K85" s="319">
        <f t="shared" si="4"/>
        <v>120000</v>
      </c>
      <c r="L85" s="326"/>
      <c r="M85" s="320">
        <f t="shared" si="6"/>
        <v>0</v>
      </c>
    </row>
    <row r="86" spans="1:13" ht="33.75" x14ac:dyDescent="0.2">
      <c r="A86" s="399">
        <f>'PRES. TOTAL CALENARIZADA 2013'!A89</f>
        <v>3531</v>
      </c>
      <c r="B86" s="400" t="str">
        <f>'PRES. TOTAL CALENARIZADA 2013'!C89</f>
        <v>Instalacion, reparación y mantenimiento de equipo de computo y tecnologías de la información</v>
      </c>
      <c r="C86" s="401">
        <f>'PRES. TOTAL CALENARIZADA 2013'!D89</f>
        <v>40000</v>
      </c>
      <c r="D86" s="304"/>
      <c r="E86" s="405">
        <f>ELECTROMECANICA!E89+ALIMENTARIAS!E89+'INOVACION AGRICOLA'!E89+'SERVICIOS ESCOLARES'!E89+'DESARROLLO ACADEMICO'!E89+VINCULACIÓN!E89+PLANEACION!E89+CALIDAD!E89+'ADMON REC'!E89</f>
        <v>0</v>
      </c>
      <c r="F86" s="406">
        <f>ELECTROMECANICA!F89+ALIMENTARIAS!F89+'INOVACION AGRICOLA'!F89+'SERVICIOS ESCOLARES'!F89+'DESARROLLO ACADEMICO'!F89+VINCULACIÓN!F89+PLANEACION!F89+CALIDAD!F89+'ADMON REC'!F89</f>
        <v>40000</v>
      </c>
      <c r="G86" s="406">
        <f>ELECTROMECANICA!G89+ALIMENTARIAS!G89+'INOVACION AGRICOLA'!G89+'SERVICIOS ESCOLARES'!G89+'DESARROLLO ACADEMICO'!G89+VINCULACIÓN!G89+PLANEACION!G89+CALIDAD!G89+'ADMON REC'!G89</f>
        <v>0</v>
      </c>
      <c r="H86" s="406">
        <f>ELECTROMECANICA!H89+ALIMENTARIAS!H89+'INOVACION AGRICOLA'!H89+'SERVICIOS ESCOLARES'!H89+'DESARROLLO ACADEMICO'!H89+VINCULACIÓN!H89+PLANEACION!H89+CALIDAD!H89+'ADMON REC'!H89</f>
        <v>0</v>
      </c>
      <c r="I86" s="406">
        <f>ALIMENTARIAS!I89</f>
        <v>0</v>
      </c>
      <c r="J86" s="401"/>
      <c r="K86" s="319">
        <f t="shared" si="4"/>
        <v>40000</v>
      </c>
      <c r="L86" s="326"/>
      <c r="M86" s="320">
        <f t="shared" si="6"/>
        <v>0</v>
      </c>
    </row>
    <row r="87" spans="1:13" ht="33.75" x14ac:dyDescent="0.2">
      <c r="A87" s="399">
        <f>'PRES. TOTAL CALENARIZADA 2013'!A90</f>
        <v>3541</v>
      </c>
      <c r="B87" s="400" t="str">
        <f>'PRES. TOTAL CALENARIZADA 2013'!C90</f>
        <v>Instalacion, reparación y mantenimiento de equipo e instrumenteal médico y de laboratorio</v>
      </c>
      <c r="C87" s="401">
        <f>'PRES. TOTAL CALENARIZADA 2013'!D90</f>
        <v>126000</v>
      </c>
      <c r="D87" s="304"/>
      <c r="E87" s="405">
        <f>ELECTROMECANICA!E90+ALIMENTARIAS!E90+'INOVACION AGRICOLA'!E90+'SERVICIOS ESCOLARES'!E90+'DESARROLLO ACADEMICO'!E90+VINCULACIÓN!E90+PLANEACION!E90+CALIDAD!E90+'ADMON REC'!E90</f>
        <v>0</v>
      </c>
      <c r="F87" s="406">
        <f>ELECTROMECANICA!F90+ALIMENTARIAS!F90+'INOVACION AGRICOLA'!F90+'SERVICIOS ESCOLARES'!F90+'DESARROLLO ACADEMICO'!F90+VINCULACIÓN!F90+PLANEACION!F90+CALIDAD!F90+'ADMON REC'!F90</f>
        <v>120000</v>
      </c>
      <c r="G87" s="406">
        <f>ELECTROMECANICA!G90+ALIMENTARIAS!G90+'INOVACION AGRICOLA'!G90+'SERVICIOS ESCOLARES'!G90+'DESARROLLO ACADEMICO'!G90+VINCULACIÓN!G90+PLANEACION!G90+CALIDAD!G90+'ADMON REC'!G90</f>
        <v>6000</v>
      </c>
      <c r="H87" s="406">
        <f>ELECTROMECANICA!H90+ALIMENTARIAS!H90+'INOVACION AGRICOLA'!H90+'SERVICIOS ESCOLARES'!H90+'DESARROLLO ACADEMICO'!H90+VINCULACIÓN!H90+PLANEACION!H90+CALIDAD!H90+'ADMON REC'!H90</f>
        <v>0</v>
      </c>
      <c r="I87" s="406">
        <f>ALIMENTARIAS!I90</f>
        <v>0</v>
      </c>
      <c r="J87" s="401"/>
      <c r="K87" s="319">
        <f t="shared" si="4"/>
        <v>126000</v>
      </c>
      <c r="L87" s="326"/>
      <c r="M87" s="320">
        <f t="shared" si="6"/>
        <v>0</v>
      </c>
    </row>
    <row r="88" spans="1:13" ht="22.5" x14ac:dyDescent="0.2">
      <c r="A88" s="399">
        <f>'PRES. TOTAL CALENARIZADA 2013'!A91</f>
        <v>3551</v>
      </c>
      <c r="B88" s="400" t="str">
        <f>'PRES. TOTAL CALENARIZADA 2013'!C91</f>
        <v>Reparación y mantenimiento de equipo de transporte</v>
      </c>
      <c r="C88" s="401">
        <f>'PRES. TOTAL CALENARIZADA 2013'!D91</f>
        <v>91000</v>
      </c>
      <c r="D88" s="304"/>
      <c r="E88" s="405">
        <f>ELECTROMECANICA!E91+ALIMENTARIAS!E91+'INOVACION AGRICOLA'!E91+'SERVICIOS ESCOLARES'!E91+'DESARROLLO ACADEMICO'!E91+VINCULACIÓN!E91+PLANEACION!E91+CALIDAD!E91+'ADMON REC'!E91</f>
        <v>0</v>
      </c>
      <c r="F88" s="406">
        <f>ELECTROMECANICA!F91+ALIMENTARIAS!F91+'INOVACION AGRICOLA'!F91+'SERVICIOS ESCOLARES'!F91+'DESARROLLO ACADEMICO'!F91+VINCULACIÓN!F91+PLANEACION!F91+CALIDAD!F91+'ADMON REC'!F91</f>
        <v>0</v>
      </c>
      <c r="G88" s="406">
        <f>ELECTROMECANICA!G91+ALIMENTARIAS!G91+'INOVACION AGRICOLA'!G91+'SERVICIOS ESCOLARES'!G91+'DESARROLLO ACADEMICO'!G91+VINCULACIÓN!G91+PLANEACION!G91+CALIDAD!G91+'ADMON REC'!G91</f>
        <v>91000</v>
      </c>
      <c r="H88" s="406">
        <f>ELECTROMECANICA!H91+ALIMENTARIAS!H91+'INOVACION AGRICOLA'!H91+'SERVICIOS ESCOLARES'!H91+'DESARROLLO ACADEMICO'!H91+VINCULACIÓN!H91+PLANEACION!H91+CALIDAD!H91+'ADMON REC'!H91</f>
        <v>0</v>
      </c>
      <c r="I88" s="406">
        <f>ALIMENTARIAS!I91</f>
        <v>0</v>
      </c>
      <c r="J88" s="401"/>
      <c r="K88" s="319">
        <f t="shared" si="4"/>
        <v>91000</v>
      </c>
      <c r="L88" s="326"/>
      <c r="M88" s="320">
        <f t="shared" si="6"/>
        <v>0</v>
      </c>
    </row>
    <row r="89" spans="1:13" ht="33.75" x14ac:dyDescent="0.2">
      <c r="A89" s="399">
        <f>'PRES. TOTAL CALENARIZADA 2013'!A92</f>
        <v>3571</v>
      </c>
      <c r="B89" s="400" t="str">
        <f>'PRES. TOTAL CALENARIZADA 2013'!C92</f>
        <v>Instalación, reparacion y mantenimiento de maquinaria, otros equipos y herramienta</v>
      </c>
      <c r="C89" s="401">
        <f>'PRES. TOTAL CALENARIZADA 2013'!D92</f>
        <v>21000</v>
      </c>
      <c r="D89" s="304"/>
      <c r="E89" s="405">
        <f>ELECTROMECANICA!E92+ALIMENTARIAS!E92+'INOVACION AGRICOLA'!E92+'SERVICIOS ESCOLARES'!E92+'DESARROLLO ACADEMICO'!E92+VINCULACIÓN!E92+PLANEACION!E92+CALIDAD!E92+'ADMON REC'!E92</f>
        <v>0</v>
      </c>
      <c r="F89" s="406">
        <f>ELECTROMECANICA!F92+ALIMENTARIAS!F92+'INOVACION AGRICOLA'!F92+'SERVICIOS ESCOLARES'!F92+'DESARROLLO ACADEMICO'!F92+VINCULACIÓN!F92+PLANEACION!F92+CALIDAD!F92+'ADMON REC'!F92</f>
        <v>0</v>
      </c>
      <c r="G89" s="406">
        <f>ELECTROMECANICA!G92+ALIMENTARIAS!G92+'INOVACION AGRICOLA'!G92+'SERVICIOS ESCOLARES'!G92+'DESARROLLO ACADEMICO'!G92+VINCULACIÓN!G92+PLANEACION!G92+CALIDAD!G92+'ADMON REC'!G92</f>
        <v>6000</v>
      </c>
      <c r="H89" s="406">
        <f>ELECTROMECANICA!H92+ALIMENTARIAS!H92+'INOVACION AGRICOLA'!H92+'SERVICIOS ESCOLARES'!H92+'DESARROLLO ACADEMICO'!H92+VINCULACIÓN!H92+PLANEACION!H92+CALIDAD!H92+'ADMON REC'!H92</f>
        <v>15000</v>
      </c>
      <c r="I89" s="406">
        <f>ALIMENTARIAS!I92</f>
        <v>0</v>
      </c>
      <c r="J89" s="401"/>
      <c r="K89" s="319">
        <f t="shared" si="4"/>
        <v>21000</v>
      </c>
      <c r="L89" s="326"/>
      <c r="M89" s="320">
        <f t="shared" si="6"/>
        <v>0</v>
      </c>
    </row>
    <row r="90" spans="1:13" ht="33.75" x14ac:dyDescent="0.2">
      <c r="A90" s="399">
        <f>'PRES. TOTAL CALENARIZADA 2013'!A93</f>
        <v>3572</v>
      </c>
      <c r="B90" s="400" t="str">
        <f>'PRES. TOTAL CALENARIZADA 2013'!C93</f>
        <v>Mantenimineto y conservación de maquinaria y equipo de trabajo específico</v>
      </c>
      <c r="C90" s="401">
        <f>'PRES. TOTAL CALENARIZADA 2013'!D93</f>
        <v>71000</v>
      </c>
      <c r="D90" s="304"/>
      <c r="E90" s="405">
        <f>ELECTROMECANICA!E93+ALIMENTARIAS!E93+'INOVACION AGRICOLA'!E93+'SERVICIOS ESCOLARES'!E93+'DESARROLLO ACADEMICO'!E93+VINCULACIÓN!E93+PLANEACION!E93+CALIDAD!E93+'ADMON REC'!E93</f>
        <v>0</v>
      </c>
      <c r="F90" s="406">
        <f>ELECTROMECANICA!F93+ALIMENTARIAS!F93+'INOVACION AGRICOLA'!F93+'SERVICIOS ESCOLARES'!F93+'DESARROLLO ACADEMICO'!F93+VINCULACIÓN!F93+PLANEACION!F93+CALIDAD!F93+'ADMON REC'!F93</f>
        <v>0</v>
      </c>
      <c r="G90" s="406">
        <f>ELECTROMECANICA!G93+ALIMENTARIAS!G93+'INOVACION AGRICOLA'!G93+'SERVICIOS ESCOLARES'!G93+'DESARROLLO ACADEMICO'!G93+VINCULACIÓN!G93+PLANEACION!G93+CALIDAD!G93+'ADMON REC'!G93</f>
        <v>6000</v>
      </c>
      <c r="H90" s="406">
        <f>ELECTROMECANICA!H93+ALIMENTARIAS!H93+'INOVACION AGRICOLA'!H93+'SERVICIOS ESCOLARES'!H93+'DESARROLLO ACADEMICO'!H93+VINCULACIÓN!H93+PLANEACION!H93+CALIDAD!H93+'ADMON REC'!H93</f>
        <v>65000</v>
      </c>
      <c r="I90" s="406">
        <f>ALIMENTARIAS!I93</f>
        <v>0</v>
      </c>
      <c r="J90" s="401"/>
      <c r="K90" s="319">
        <f t="shared" si="4"/>
        <v>71000</v>
      </c>
      <c r="L90" s="326"/>
      <c r="M90" s="320">
        <f t="shared" si="6"/>
        <v>0</v>
      </c>
    </row>
    <row r="91" spans="1:13" ht="22.5" x14ac:dyDescent="0.2">
      <c r="A91" s="399">
        <f>'PRES. TOTAL CALENARIZADA 2013'!A94</f>
        <v>3581</v>
      </c>
      <c r="B91" s="400" t="str">
        <f>'PRES. TOTAL CALENARIZADA 2013'!C94</f>
        <v>Servicios de limpieza y manejo de desechos</v>
      </c>
      <c r="C91" s="401">
        <f>'PRES. TOTAL CALENARIZADA 2013'!D94</f>
        <v>40000</v>
      </c>
      <c r="D91" s="304"/>
      <c r="E91" s="405">
        <f>ELECTROMECANICA!E94+ALIMENTARIAS!E94+'INOVACION AGRICOLA'!E94+'SERVICIOS ESCOLARES'!E94+'DESARROLLO ACADEMICO'!E94+VINCULACIÓN!E94+PLANEACION!E94+CALIDAD!E94+'ADMON REC'!E94</f>
        <v>0</v>
      </c>
      <c r="F91" s="406">
        <f>ELECTROMECANICA!F94+ALIMENTARIAS!F94+'INOVACION AGRICOLA'!F94+'SERVICIOS ESCOLARES'!F94+'DESARROLLO ACADEMICO'!F94+VINCULACIÓN!F94+PLANEACION!F94+CALIDAD!F94+'ADMON REC'!F94</f>
        <v>0</v>
      </c>
      <c r="G91" s="406">
        <f>ELECTROMECANICA!G94+ALIMENTARIAS!G94+'INOVACION AGRICOLA'!G94+'SERVICIOS ESCOLARES'!G94+'DESARROLLO ACADEMICO'!G94+VINCULACIÓN!G94+PLANEACION!G94+CALIDAD!G94+'ADMON REC'!G94</f>
        <v>30000</v>
      </c>
      <c r="H91" s="406">
        <f>ELECTROMECANICA!H94+ALIMENTARIAS!H94+'INOVACION AGRICOLA'!H94+'SERVICIOS ESCOLARES'!H94+'DESARROLLO ACADEMICO'!H94+VINCULACIÓN!H94+PLANEACION!H94+CALIDAD!H94+'ADMON REC'!H94</f>
        <v>10000</v>
      </c>
      <c r="I91" s="406">
        <f>ALIMENTARIAS!I94</f>
        <v>0</v>
      </c>
      <c r="J91" s="401"/>
      <c r="K91" s="319">
        <f t="shared" ref="K91:K108" si="7">E91+F91+G91+H91+I91</f>
        <v>40000</v>
      </c>
      <c r="L91" s="326"/>
      <c r="M91" s="320">
        <f t="shared" si="6"/>
        <v>0</v>
      </c>
    </row>
    <row r="92" spans="1:13" x14ac:dyDescent="0.2">
      <c r="A92" s="399">
        <f>'PRES. TOTAL CALENARIZADA 2013'!A95</f>
        <v>3591</v>
      </c>
      <c r="B92" s="400" t="str">
        <f>'PRES. TOTAL CALENARIZADA 2013'!C95</f>
        <v>Servicios de jardineria y fumigación</v>
      </c>
      <c r="C92" s="401">
        <f>'PRES. TOTAL CALENARIZADA 2013'!D95</f>
        <v>6000</v>
      </c>
      <c r="D92" s="304"/>
      <c r="E92" s="405">
        <f>ELECTROMECANICA!E95+ALIMENTARIAS!E95+'INOVACION AGRICOLA'!E95+'SERVICIOS ESCOLARES'!E95+'DESARROLLO ACADEMICO'!E95+VINCULACIÓN!E95+PLANEACION!E95+CALIDAD!E95+'ADMON REC'!E95</f>
        <v>0</v>
      </c>
      <c r="F92" s="406">
        <f>ELECTROMECANICA!F95+ALIMENTARIAS!F95+'INOVACION AGRICOLA'!F95+'SERVICIOS ESCOLARES'!F95+'DESARROLLO ACADEMICO'!F95+VINCULACIÓN!F95+PLANEACION!F95+CALIDAD!F95+'ADMON REC'!F95</f>
        <v>0</v>
      </c>
      <c r="G92" s="406">
        <f>ELECTROMECANICA!G95+ALIMENTARIAS!G95+'INOVACION AGRICOLA'!G95+'SERVICIOS ESCOLARES'!G95+'DESARROLLO ACADEMICO'!G95+VINCULACIÓN!G95+PLANEACION!G95+CALIDAD!G95+'ADMON REC'!G95</f>
        <v>6000</v>
      </c>
      <c r="H92" s="406">
        <f>ELECTROMECANICA!H95+ALIMENTARIAS!H95+'INOVACION AGRICOLA'!H95+'SERVICIOS ESCOLARES'!H95+'DESARROLLO ACADEMICO'!H95+VINCULACIÓN!H95+PLANEACION!H95+CALIDAD!H95+'ADMON REC'!H95</f>
        <v>0</v>
      </c>
      <c r="I92" s="406">
        <f>ALIMENTARIAS!I95</f>
        <v>0</v>
      </c>
      <c r="J92" s="401"/>
      <c r="K92" s="319">
        <f t="shared" si="7"/>
        <v>6000</v>
      </c>
      <c r="L92" s="326"/>
      <c r="M92" s="320">
        <f t="shared" si="6"/>
        <v>0</v>
      </c>
    </row>
    <row r="93" spans="1:13" ht="33.75" x14ac:dyDescent="0.2">
      <c r="A93" s="399">
        <f>'PRES. TOTAL CALENARIZADA 2013'!A96</f>
        <v>3621</v>
      </c>
      <c r="B93" s="400" t="str">
        <f>'PRES. TOTAL CALENARIZADA 2013'!C96</f>
        <v>Difusión por radio, televisión y otros medios de mensajes comerciales para promover la venta de bienes o servicios</v>
      </c>
      <c r="C93" s="401">
        <f>'PRES. TOTAL CALENARIZADA 2013'!D96</f>
        <v>405000</v>
      </c>
      <c r="D93" s="304"/>
      <c r="E93" s="405">
        <f>ELECTROMECANICA!E96+ALIMENTARIAS!E96+'INOVACION AGRICOLA'!E96+'SERVICIOS ESCOLARES'!E96+'DESARROLLO ACADEMICO'!E96+VINCULACIÓN!E96+PLANEACION!E96+CALIDAD!E96+'ADMON REC'!E96</f>
        <v>0</v>
      </c>
      <c r="F93" s="406">
        <f>ELECTROMECANICA!F96+ALIMENTARIAS!F96+'INOVACION AGRICOLA'!F96+'SERVICIOS ESCOLARES'!F96+'DESARROLLO ACADEMICO'!F96+VINCULACIÓN!F96+PLANEACION!F96+CALIDAD!F96+'ADMON REC'!F96</f>
        <v>0</v>
      </c>
      <c r="G93" s="406">
        <f>ELECTROMECANICA!G96+ALIMENTARIAS!G96+'INOVACION AGRICOLA'!G96+'SERVICIOS ESCOLARES'!G96+'DESARROLLO ACADEMICO'!G96+VINCULACIÓN!G96+PLANEACION!G96+CALIDAD!G96+'ADMON REC'!G96</f>
        <v>355000</v>
      </c>
      <c r="H93" s="406">
        <f>ELECTROMECANICA!H96+ALIMENTARIAS!H96+'INOVACION AGRICOLA'!H96+'SERVICIOS ESCOLARES'!H96+'DESARROLLO ACADEMICO'!H96+VINCULACIÓN!H96+PLANEACION!H96+CALIDAD!H96+'ADMON REC'!H96</f>
        <v>50000</v>
      </c>
      <c r="I93" s="406">
        <f>ALIMENTARIAS!I96</f>
        <v>0</v>
      </c>
      <c r="J93" s="401"/>
      <c r="K93" s="319">
        <f t="shared" si="7"/>
        <v>405000</v>
      </c>
      <c r="L93" s="326"/>
      <c r="M93" s="320">
        <f t="shared" si="6"/>
        <v>0</v>
      </c>
    </row>
    <row r="94" spans="1:13" x14ac:dyDescent="0.2">
      <c r="A94" s="399">
        <f>'PRES. TOTAL CALENARIZADA 2013'!A97</f>
        <v>3711</v>
      </c>
      <c r="B94" s="400" t="str">
        <f>'PRES. TOTAL CALENARIZADA 2013'!C97</f>
        <v>Pasajes Aéreos</v>
      </c>
      <c r="C94" s="401">
        <f>'PRES. TOTAL CALENARIZADA 2013'!D97</f>
        <v>55000</v>
      </c>
      <c r="D94" s="304"/>
      <c r="E94" s="405">
        <f>ELECTROMECANICA!E97+ALIMENTARIAS!E97+'INOVACION AGRICOLA'!E97+'SERVICIOS ESCOLARES'!E97+'DESARROLLO ACADEMICO'!E97+VINCULACIÓN!E97+PLANEACION!E97+CALIDAD!E97+'ADMON REC'!E97</f>
        <v>0</v>
      </c>
      <c r="F94" s="406">
        <f>ELECTROMECANICA!F97+ALIMENTARIAS!F97+'INOVACION AGRICOLA'!F97+'SERVICIOS ESCOLARES'!F97+'DESARROLLO ACADEMICO'!F97+VINCULACIÓN!F97+PLANEACION!F97+CALIDAD!F97+'ADMON REC'!F97</f>
        <v>0</v>
      </c>
      <c r="G94" s="406">
        <f>ELECTROMECANICA!G97+ALIMENTARIAS!G97+'INOVACION AGRICOLA'!G97+'SERVICIOS ESCOLARES'!G97+'DESARROLLO ACADEMICO'!G97+VINCULACIÓN!G97+PLANEACION!G97+CALIDAD!G97+'ADMON REC'!G97</f>
        <v>35000</v>
      </c>
      <c r="H94" s="406">
        <f>ELECTROMECANICA!H97+ALIMENTARIAS!H97+'INOVACION AGRICOLA'!H97+'SERVICIOS ESCOLARES'!H97+'DESARROLLO ACADEMICO'!H97+VINCULACIÓN!H97+PLANEACION!H97+CALIDAD!H97+'ADMON REC'!H97</f>
        <v>20000</v>
      </c>
      <c r="I94" s="406">
        <f>ALIMENTARIAS!I97</f>
        <v>0</v>
      </c>
      <c r="J94" s="401"/>
      <c r="K94" s="319">
        <f t="shared" si="7"/>
        <v>55000</v>
      </c>
      <c r="L94" s="326"/>
      <c r="M94" s="320">
        <f t="shared" si="6"/>
        <v>0</v>
      </c>
    </row>
    <row r="95" spans="1:13" x14ac:dyDescent="0.2">
      <c r="A95" s="399">
        <f>'PRES. TOTAL CALENARIZADA 2013'!A98</f>
        <v>3721</v>
      </c>
      <c r="B95" s="400" t="str">
        <f>'PRES. TOTAL CALENARIZADA 2013'!C98</f>
        <v>Pasajes Terrestres</v>
      </c>
      <c r="C95" s="401">
        <f>'PRES. TOTAL CALENARIZADA 2013'!D98</f>
        <v>42000</v>
      </c>
      <c r="D95" s="304"/>
      <c r="E95" s="405">
        <f>ELECTROMECANICA!E98+ALIMENTARIAS!E98+'INOVACION AGRICOLA'!E98+'SERVICIOS ESCOLARES'!E98+'DESARROLLO ACADEMICO'!E98+VINCULACIÓN!E98+PLANEACION!E98+CALIDAD!E98+'ADMON REC'!E98</f>
        <v>0</v>
      </c>
      <c r="F95" s="406">
        <f>ELECTROMECANICA!F98+ALIMENTARIAS!F98+'INOVACION AGRICOLA'!F98+'SERVICIOS ESCOLARES'!F98+'DESARROLLO ACADEMICO'!F98+VINCULACIÓN!F98+PLANEACION!F98+CALIDAD!F98+'ADMON REC'!F98</f>
        <v>0</v>
      </c>
      <c r="G95" s="406">
        <f>ELECTROMECANICA!G98+ALIMENTARIAS!G98+'INOVACION AGRICOLA'!G98+'SERVICIOS ESCOLARES'!G98+'DESARROLLO ACADEMICO'!G98+VINCULACIÓN!G98+PLANEACION!G98+CALIDAD!G98+'ADMON REC'!G98</f>
        <v>27000</v>
      </c>
      <c r="H95" s="406">
        <f>ELECTROMECANICA!H98+ALIMENTARIAS!H98+'INOVACION AGRICOLA'!H98+'SERVICIOS ESCOLARES'!H98+'DESARROLLO ACADEMICO'!H98+VINCULACIÓN!H98+PLANEACION!H98+CALIDAD!H98+'ADMON REC'!H98</f>
        <v>15000</v>
      </c>
      <c r="I95" s="406">
        <f>ALIMENTARIAS!I98</f>
        <v>0</v>
      </c>
      <c r="J95" s="401"/>
      <c r="K95" s="319">
        <f t="shared" si="7"/>
        <v>42000</v>
      </c>
      <c r="L95" s="326"/>
      <c r="M95" s="320">
        <f t="shared" si="6"/>
        <v>0</v>
      </c>
    </row>
    <row r="96" spans="1:13" x14ac:dyDescent="0.2">
      <c r="A96" s="399">
        <f>'PRES. TOTAL CALENARIZADA 2013'!A99</f>
        <v>3751</v>
      </c>
      <c r="B96" s="400" t="str">
        <f>'PRES. TOTAL CALENARIZADA 2013'!C99</f>
        <v>Viáticos en el país</v>
      </c>
      <c r="C96" s="401">
        <f>'PRES. TOTAL CALENARIZADA 2013'!D99</f>
        <v>220000</v>
      </c>
      <c r="D96" s="304"/>
      <c r="E96" s="405">
        <f>ELECTROMECANICA!E99+ALIMENTARIAS!E99+'INOVACION AGRICOLA'!E99+'SERVICIOS ESCOLARES'!E99+'DESARROLLO ACADEMICO'!E99+VINCULACIÓN!E99+PLANEACION!E99+CALIDAD!E99+'ADMON REC'!E99</f>
        <v>0</v>
      </c>
      <c r="F96" s="406">
        <f>ELECTROMECANICA!F99+ALIMENTARIAS!F99+'INOVACION AGRICOLA'!F99+'SERVICIOS ESCOLARES'!F99+'DESARROLLO ACADEMICO'!F99+VINCULACIÓN!F99+PLANEACION!F99+CALIDAD!F99+'ADMON REC'!F99</f>
        <v>0</v>
      </c>
      <c r="G96" s="406">
        <f>ELECTROMECANICA!G99+ALIMENTARIAS!G99+'INOVACION AGRICOLA'!G99+'SERVICIOS ESCOLARES'!G99+'DESARROLLO ACADEMICO'!G99+VINCULACIÓN!G99+PLANEACION!G99+CALIDAD!G99+'ADMON REC'!G99</f>
        <v>140000</v>
      </c>
      <c r="H96" s="406">
        <f>ELECTROMECANICA!H99+ALIMENTARIAS!H99+'INOVACION AGRICOLA'!H99+'SERVICIOS ESCOLARES'!H99+'DESARROLLO ACADEMICO'!H99+VINCULACIÓN!H99+PLANEACION!H99+CALIDAD!H99+'ADMON REC'!H99</f>
        <v>80000</v>
      </c>
      <c r="I96" s="406">
        <f>ALIMENTARIAS!I99</f>
        <v>0</v>
      </c>
      <c r="J96" s="401"/>
      <c r="K96" s="319">
        <f t="shared" si="7"/>
        <v>220000</v>
      </c>
      <c r="L96" s="326"/>
      <c r="M96" s="320">
        <f t="shared" si="6"/>
        <v>0</v>
      </c>
    </row>
    <row r="97" spans="1:14" x14ac:dyDescent="0.2">
      <c r="A97" s="399">
        <f>'PRES. TOTAL CALENARIZADA 2013'!A100</f>
        <v>3791</v>
      </c>
      <c r="B97" s="400" t="str">
        <f>'PRES. TOTAL CALENARIZADA 2013'!C100</f>
        <v>Traslado de personal</v>
      </c>
      <c r="C97" s="401">
        <f>'PRES. TOTAL CALENARIZADA 2013'!D100</f>
        <v>160578.09</v>
      </c>
      <c r="D97" s="304"/>
      <c r="E97" s="405">
        <f>ELECTROMECANICA!E100+ALIMENTARIAS!E100+'INOVACION AGRICOLA'!E100+'SERVICIOS ESCOLARES'!E100+'DESARROLLO ACADEMICO'!E100+VINCULACIÓN!E100+PLANEACION!E100+CALIDAD!E100+'ADMON REC'!E100</f>
        <v>0</v>
      </c>
      <c r="F97" s="406">
        <f>ELECTROMECANICA!F100+ALIMENTARIAS!F100+'INOVACION AGRICOLA'!F100+'SERVICIOS ESCOLARES'!F100+'DESARROLLO ACADEMICO'!F100+VINCULACIÓN!F100+PLANEACION!F100+CALIDAD!F100+'ADMON REC'!F100</f>
        <v>0</v>
      </c>
      <c r="G97" s="406">
        <f>ELECTROMECANICA!G100+ALIMENTARIAS!G100+'INOVACION AGRICOLA'!G100+'SERVICIOS ESCOLARES'!G100+'DESARROLLO ACADEMICO'!G100+VINCULACIÓN!G100+PLANEACION!G100+CALIDAD!G100+'ADMON REC'!G100</f>
        <v>100000</v>
      </c>
      <c r="H97" s="406">
        <f>ELECTROMECANICA!H100+ALIMENTARIAS!H100+'INOVACION AGRICOLA'!H100+'SERVICIOS ESCOLARES'!H100+'DESARROLLO ACADEMICO'!H100+VINCULACIÓN!H100+PLANEACION!H100+CALIDAD!H100+'ADMON REC'!H100</f>
        <v>60000</v>
      </c>
      <c r="I97" s="406">
        <f>ALIMENTARIAS!I100</f>
        <v>578.09</v>
      </c>
      <c r="J97" s="401"/>
      <c r="K97" s="319">
        <f t="shared" si="7"/>
        <v>160578.09</v>
      </c>
      <c r="L97" s="326"/>
      <c r="M97" s="320">
        <f t="shared" si="6"/>
        <v>0</v>
      </c>
    </row>
    <row r="98" spans="1:14" x14ac:dyDescent="0.2">
      <c r="A98" s="399">
        <f>'PRES. TOTAL CALENARIZADA 2013'!A101</f>
        <v>3821</v>
      </c>
      <c r="B98" s="400" t="str">
        <f>'PRES. TOTAL CALENARIZADA 2013'!C101</f>
        <v>Gastos de orden social</v>
      </c>
      <c r="C98" s="401">
        <f>'PRES. TOTAL CALENARIZADA 2013'!D101</f>
        <v>125000</v>
      </c>
      <c r="D98" s="304"/>
      <c r="E98" s="405">
        <f>ELECTROMECANICA!E101+ALIMENTARIAS!E101+'INOVACION AGRICOLA'!E101+'SERVICIOS ESCOLARES'!E101+'DESARROLLO ACADEMICO'!E101+VINCULACIÓN!E101+PLANEACION!E101+CALIDAD!E101+'ADMON REC'!E101</f>
        <v>0</v>
      </c>
      <c r="F98" s="406">
        <f>ELECTROMECANICA!F101+ALIMENTARIAS!F101+'INOVACION AGRICOLA'!F101+'SERVICIOS ESCOLARES'!F101+'DESARROLLO ACADEMICO'!F101+VINCULACIÓN!F101+PLANEACION!F101+CALIDAD!F101+'ADMON REC'!F101</f>
        <v>0</v>
      </c>
      <c r="G98" s="406">
        <f>ELECTROMECANICA!G101+ALIMENTARIAS!G101+'INOVACION AGRICOLA'!G101+'SERVICIOS ESCOLARES'!G101+'DESARROLLO ACADEMICO'!G101+VINCULACIÓN!G101+PLANEACION!G101+CALIDAD!G101+'ADMON REC'!G101</f>
        <v>70000</v>
      </c>
      <c r="H98" s="406">
        <f>ELECTROMECANICA!H101+ALIMENTARIAS!H101+'INOVACION AGRICOLA'!H101+'SERVICIOS ESCOLARES'!H101+'DESARROLLO ACADEMICO'!H101+VINCULACIÓN!H101+PLANEACION!H101+CALIDAD!H101+'ADMON REC'!H101</f>
        <v>55000</v>
      </c>
      <c r="I98" s="406">
        <f>ALIMENTARIAS!I101</f>
        <v>0</v>
      </c>
      <c r="J98" s="401"/>
      <c r="K98" s="319">
        <f t="shared" si="7"/>
        <v>125000</v>
      </c>
      <c r="L98" s="326"/>
      <c r="M98" s="320">
        <f t="shared" si="6"/>
        <v>0</v>
      </c>
    </row>
    <row r="99" spans="1:14" x14ac:dyDescent="0.2">
      <c r="A99" s="399">
        <f>'PRES. TOTAL CALENARIZADA 2013'!A102</f>
        <v>3822</v>
      </c>
      <c r="B99" s="400" t="str">
        <f>'PRES. TOTAL CALENARIZADA 2013'!C102</f>
        <v>Gastos de orden cultural</v>
      </c>
      <c r="C99" s="401">
        <f>'PRES. TOTAL CALENARIZADA 2013'!D102</f>
        <v>135069.74</v>
      </c>
      <c r="D99" s="304"/>
      <c r="E99" s="405">
        <f>ELECTROMECANICA!E102+ALIMENTARIAS!E102+'INOVACION AGRICOLA'!E102+'SERVICIOS ESCOLARES'!E102+'DESARROLLO ACADEMICO'!E102+VINCULACIÓN!E102+PLANEACION!E102+CALIDAD!E102+'ADMON REC'!E102</f>
        <v>0</v>
      </c>
      <c r="F99" s="406">
        <f>ELECTROMECANICA!F102+ALIMENTARIAS!F102+'INOVACION AGRICOLA'!F102+'SERVICIOS ESCOLARES'!F102+'DESARROLLO ACADEMICO'!F102+VINCULACIÓN!F102+PLANEACION!F102+CALIDAD!F102+'ADMON REC'!F102</f>
        <v>0</v>
      </c>
      <c r="G99" s="406">
        <f>ELECTROMECANICA!G102+ALIMENTARIAS!G102+'INOVACION AGRICOLA'!G102+'SERVICIOS ESCOLARES'!G102+'DESARROLLO ACADEMICO'!G102+VINCULACIÓN!G102+PLANEACION!G102+CALIDAD!G102+'ADMON REC'!G102</f>
        <v>41000</v>
      </c>
      <c r="H99" s="406">
        <f>ELECTROMECANICA!H102+ALIMENTARIAS!H102+'INOVACION AGRICOLA'!H102+'SERVICIOS ESCOLARES'!H102+'DESARROLLO ACADEMICO'!H102+VINCULACIÓN!H102+PLANEACION!H102+CALIDAD!H102+'ADMON REC'!H102</f>
        <v>94069.74</v>
      </c>
      <c r="I99" s="406">
        <f>ALIMENTARIAS!I102</f>
        <v>0</v>
      </c>
      <c r="J99" s="401"/>
      <c r="K99" s="319">
        <f t="shared" si="7"/>
        <v>135069.74</v>
      </c>
      <c r="L99" s="326"/>
      <c r="M99" s="320">
        <f t="shared" si="6"/>
        <v>0</v>
      </c>
    </row>
    <row r="100" spans="1:14" x14ac:dyDescent="0.2">
      <c r="A100" s="399">
        <f>'PRES. TOTAL CALENARIZADA 2013'!A103</f>
        <v>3792</v>
      </c>
      <c r="B100" s="400" t="str">
        <f>'PRES. TOTAL CALENARIZADA 2013'!C103</f>
        <v>Otros servicios de traslado y hospedaje</v>
      </c>
      <c r="C100" s="401">
        <f>'PRES. TOTAL CALENARIZADA 2013'!D103</f>
        <v>75000</v>
      </c>
      <c r="D100" s="304"/>
      <c r="E100" s="405">
        <f>ELECTROMECANICA!E103+ALIMENTARIAS!E103+'INOVACION AGRICOLA'!E103+'SERVICIOS ESCOLARES'!E103+'DESARROLLO ACADEMICO'!E103+VINCULACIÓN!E103+PLANEACION!E103+CALIDAD!E103+'ADMON REC'!E103</f>
        <v>0</v>
      </c>
      <c r="F100" s="406">
        <f>ELECTROMECANICA!F103+ALIMENTARIAS!F103+'INOVACION AGRICOLA'!F103+'SERVICIOS ESCOLARES'!F103+'DESARROLLO ACADEMICO'!F103+VINCULACIÓN!F103+PLANEACION!F103+CALIDAD!F103+'ADMON REC'!F103</f>
        <v>0</v>
      </c>
      <c r="G100" s="406">
        <f>ELECTROMECANICA!G103+ALIMENTARIAS!G103+'INOVACION AGRICOLA'!G103+'SERVICIOS ESCOLARES'!G103+'DESARROLLO ACADEMICO'!G103+VINCULACIÓN!G103+PLANEACION!G103+CALIDAD!G103+'ADMON REC'!G103</f>
        <v>40000</v>
      </c>
      <c r="H100" s="406">
        <f>ELECTROMECANICA!H103+ALIMENTARIAS!H103+'INOVACION AGRICOLA'!H103+'SERVICIOS ESCOLARES'!H103+'DESARROLLO ACADEMICO'!H103+VINCULACIÓN!H103+PLANEACION!H103+CALIDAD!H103+'ADMON REC'!H103</f>
        <v>35000</v>
      </c>
      <c r="I100" s="406">
        <f>ALIMENTARIAS!I103</f>
        <v>0</v>
      </c>
      <c r="J100" s="401"/>
      <c r="K100" s="319">
        <f t="shared" si="7"/>
        <v>75000</v>
      </c>
      <c r="L100" s="326"/>
      <c r="M100" s="320">
        <f t="shared" si="6"/>
        <v>0</v>
      </c>
    </row>
    <row r="101" spans="1:14" ht="13.5" thickBot="1" x14ac:dyDescent="0.25">
      <c r="A101" s="402">
        <f>'PRES. TOTAL CALENARIZADA 2013'!A104</f>
        <v>3921</v>
      </c>
      <c r="B101" s="403" t="str">
        <f>'PRES. TOTAL CALENARIZADA 2013'!C104</f>
        <v>Impuestos y derechos</v>
      </c>
      <c r="C101" s="404">
        <f>'PRES. TOTAL CALENARIZADA 2013'!D104</f>
        <v>34518</v>
      </c>
      <c r="D101" s="304"/>
      <c r="E101" s="407">
        <f>ELECTROMECANICA!E104+ALIMENTARIAS!E104+'INOVACION AGRICOLA'!E104+'SERVICIOS ESCOLARES'!E104+'DESARROLLO ACADEMICO'!E104+VINCULACIÓN!E104+PLANEACION!E104+CALIDAD!E104+'ADMON REC'!E104</f>
        <v>0</v>
      </c>
      <c r="F101" s="408">
        <f>ELECTROMECANICA!F104+ALIMENTARIAS!F104+'INOVACION AGRICOLA'!F104+'SERVICIOS ESCOLARES'!F104+'DESARROLLO ACADEMICO'!F104+VINCULACIÓN!F104+PLANEACION!F104+CALIDAD!F104+'ADMON REC'!F104</f>
        <v>0</v>
      </c>
      <c r="G101" s="408">
        <f>ELECTROMECANICA!G104+ALIMENTARIAS!G104+'INOVACION AGRICOLA'!G104+'SERVICIOS ESCOLARES'!G104+'DESARROLLO ACADEMICO'!G104+VINCULACIÓN!G104+PLANEACION!G104+CALIDAD!G104+'ADMON REC'!G104</f>
        <v>4500</v>
      </c>
      <c r="H101" s="408">
        <f>ELECTROMECANICA!H104+ALIMENTARIAS!H104+'INOVACION AGRICOLA'!H104+'SERVICIOS ESCOLARES'!H104+'DESARROLLO ACADEMICO'!H104+VINCULACIÓN!H104+PLANEACION!H104+CALIDAD!H104+'ADMON REC'!H104</f>
        <v>30018</v>
      </c>
      <c r="I101" s="408">
        <f>ALIMENTARIAS!I104</f>
        <v>0</v>
      </c>
      <c r="J101" s="404"/>
      <c r="K101" s="321">
        <f t="shared" si="7"/>
        <v>34518</v>
      </c>
      <c r="L101" s="326"/>
      <c r="M101" s="322">
        <f t="shared" si="6"/>
        <v>0</v>
      </c>
    </row>
    <row r="102" spans="1:14" ht="21.75" customHeight="1" thickBot="1" x14ac:dyDescent="0.25">
      <c r="A102" s="305"/>
      <c r="B102" s="306" t="s">
        <v>243</v>
      </c>
      <c r="C102" s="303">
        <f>SUM(C65:C101)</f>
        <v>4117517.8999999994</v>
      </c>
      <c r="D102" s="304"/>
      <c r="E102" s="303">
        <f t="shared" ref="E102:J102" si="8">SUM(E65:E101)</f>
        <v>323355.46000000002</v>
      </c>
      <c r="F102" s="303">
        <f t="shared" si="8"/>
        <v>1071958</v>
      </c>
      <c r="G102" s="303">
        <f t="shared" si="8"/>
        <v>957500</v>
      </c>
      <c r="H102" s="303">
        <f t="shared" si="8"/>
        <v>1620126.35</v>
      </c>
      <c r="I102" s="303">
        <f t="shared" si="8"/>
        <v>64578.09</v>
      </c>
      <c r="J102" s="303">
        <f t="shared" si="8"/>
        <v>80000</v>
      </c>
      <c r="K102" s="325"/>
      <c r="L102" s="326"/>
      <c r="M102" s="325"/>
    </row>
    <row r="103" spans="1:14" ht="18.75" customHeight="1" thickBot="1" x14ac:dyDescent="0.25">
      <c r="A103" s="414">
        <f>'PRES. TOTAL CALENARIZADA 2013'!A106</f>
        <v>4419</v>
      </c>
      <c r="B103" s="415" t="str">
        <f>'PRES. TOTAL CALENARIZADA 2013'!C106</f>
        <v>Erogaciones Contingentes</v>
      </c>
      <c r="C103" s="416">
        <f>'PRES. TOTAL CALENARIZADA 2013'!D106</f>
        <v>543854.64</v>
      </c>
      <c r="D103" s="304"/>
      <c r="E103" s="417">
        <f>ELECTROMECANICA!E106+ALIMENTARIAS!E106+'INOVACION AGRICOLA'!E106+'SERVICIOS ESCOLARES'!E106+'DESARROLLO ACADEMICO'!E106+VINCULACIÓN!E106+PLANEACION!E106+CALIDAD!E106+'ADMON REC'!E106</f>
        <v>543854.64</v>
      </c>
      <c r="F103" s="418">
        <f>ELECTROMECANICA!F106+ALIMENTARIAS!F106+'INOVACION AGRICOLA'!F106+'SERVICIOS ESCOLARES'!F106+'DESARROLLO ACADEMICO'!F106+VINCULACIÓN!F106+PLANEACION!F106+CALIDAD!F106+'ADMON REC'!F106</f>
        <v>0</v>
      </c>
      <c r="G103" s="418">
        <f>ELECTROMECANICA!G106+ALIMENTARIAS!G106+'INOVACION AGRICOLA'!G106+'SERVICIOS ESCOLARES'!G106+'DESARROLLO ACADEMICO'!G106+VINCULACIÓN!G106+PLANEACION!G106+CALIDAD!G106+'ADMON REC'!G106</f>
        <v>0</v>
      </c>
      <c r="H103" s="418">
        <f>ELECTROMECANICA!H106+ALIMENTARIAS!H106+'INOVACION AGRICOLA'!H106+'SERVICIOS ESCOLARES'!H106+'DESARROLLO ACADEMICO'!H106+VINCULACIÓN!H106+PLANEACION!H106+CALIDAD!H106+'ADMON REC'!H106</f>
        <v>0</v>
      </c>
      <c r="I103" s="418">
        <f>ALIMENTARIAS!I107</f>
        <v>0</v>
      </c>
      <c r="J103" s="416"/>
      <c r="K103" s="327">
        <f t="shared" si="7"/>
        <v>543854.64</v>
      </c>
      <c r="L103" s="328"/>
      <c r="M103" s="329">
        <f>C103-K103</f>
        <v>0</v>
      </c>
    </row>
    <row r="104" spans="1:14" ht="21" customHeight="1" thickBot="1" x14ac:dyDescent="0.25">
      <c r="A104" s="305"/>
      <c r="B104" s="306" t="s">
        <v>244</v>
      </c>
      <c r="C104" s="250">
        <f>SUM(C103)</f>
        <v>543854.64</v>
      </c>
      <c r="D104" s="304"/>
      <c r="E104" s="250">
        <f t="shared" ref="E104:J104" si="9">SUM(E103)</f>
        <v>543854.64</v>
      </c>
      <c r="F104" s="250">
        <f t="shared" si="9"/>
        <v>0</v>
      </c>
      <c r="G104" s="250">
        <f t="shared" si="9"/>
        <v>0</v>
      </c>
      <c r="H104" s="250">
        <f t="shared" si="9"/>
        <v>0</v>
      </c>
      <c r="I104" s="250">
        <f t="shared" si="9"/>
        <v>0</v>
      </c>
      <c r="J104" s="250">
        <f t="shared" si="9"/>
        <v>0</v>
      </c>
      <c r="K104" s="325"/>
      <c r="L104" s="328"/>
      <c r="M104" s="325"/>
    </row>
    <row r="105" spans="1:14" ht="22.5" x14ac:dyDescent="0.2">
      <c r="A105" s="409">
        <f>'PRES. TOTAL CALENARIZADA 2013'!A108</f>
        <v>5151</v>
      </c>
      <c r="B105" s="410" t="str">
        <f>'PRES. TOTAL CALENARIZADA 2013'!C108</f>
        <v>Equipo de computo y tecnología de la información</v>
      </c>
      <c r="C105" s="411">
        <f>'PRES. TOTAL CALENARIZADA 2013'!D108</f>
        <v>235000</v>
      </c>
      <c r="D105" s="304"/>
      <c r="E105" s="412">
        <f>ELECTROMECANICA!E108+ALIMENTARIAS!E108+'INOVACION AGRICOLA'!E108+'SERVICIOS ESCOLARES'!E108+'DESARROLLO ACADEMICO'!E108+VINCULACIÓN!E108+PLANEACION!E108+CALIDAD!E108+'ADMON REC'!E108</f>
        <v>0</v>
      </c>
      <c r="F105" s="413">
        <f>ELECTROMECANICA!F108+ALIMENTARIAS!F108+'INOVACION AGRICOLA'!F108+'SERVICIOS ESCOLARES'!F108+'DESARROLLO ACADEMICO'!F108+VINCULACIÓN!F108+PLANEACION!F108+CALIDAD!F108+'ADMON REC'!F108</f>
        <v>0</v>
      </c>
      <c r="G105" s="413">
        <f>ELECTROMECANICA!G108+ALIMENTARIAS!G108+'INOVACION AGRICOLA'!G108+'SERVICIOS ESCOLARES'!G108+'DESARROLLO ACADEMICO'!G108+VINCULACIÓN!G108+PLANEACION!G108+CALIDAD!G108+'ADMON REC'!G108</f>
        <v>0</v>
      </c>
      <c r="H105" s="413">
        <f>ELECTROMECANICA!H108+ALIMENTARIAS!H108+'INOVACION AGRICOLA'!H108+'SERVICIOS ESCOLARES'!H108+'DESARROLLO ACADEMICO'!H108+VINCULACIÓN!H108+PLANEACION!H108+CALIDAD!H108+'ADMON REC'!H108</f>
        <v>235000</v>
      </c>
      <c r="I105" s="434">
        <f>ALIMENTARIAS!I109</f>
        <v>0</v>
      </c>
      <c r="J105" s="435"/>
      <c r="K105" s="317">
        <f t="shared" si="7"/>
        <v>235000</v>
      </c>
      <c r="L105" s="328"/>
      <c r="M105" s="318">
        <f>C105-K105</f>
        <v>0</v>
      </c>
    </row>
    <row r="106" spans="1:14" x14ac:dyDescent="0.2">
      <c r="A106" s="399">
        <f>'PRES. TOTAL CALENARIZADA 2013'!A109</f>
        <v>5611</v>
      </c>
      <c r="B106" s="400" t="str">
        <f>'PRES. TOTAL CALENARIZADA 2013'!C109</f>
        <v>Maquinaria y equipo agropecuario</v>
      </c>
      <c r="C106" s="401">
        <f>'PRES. TOTAL CALENARIZADA 2013'!D109</f>
        <v>519106.60000000003</v>
      </c>
      <c r="D106" s="304"/>
      <c r="E106" s="405">
        <f>ELECTROMECANICA!E109+ALIMENTARIAS!E109+'INOVACION AGRICOLA'!E109+'SERVICIOS ESCOLARES'!E109+'DESARROLLO ACADEMICO'!E109+VINCULACIÓN!E109+PLANEACION!E109+CALIDAD!E109+'ADMON REC'!E109</f>
        <v>0</v>
      </c>
      <c r="F106" s="406">
        <f>ELECTROMECANICA!F109+ALIMENTARIAS!F109+'INOVACION AGRICOLA'!F109+'SERVICIOS ESCOLARES'!F109+'DESARROLLO ACADEMICO'!F109+VINCULACIÓN!F109+PLANEACION!F109+CALIDAD!F109+'ADMON REC'!F109</f>
        <v>0</v>
      </c>
      <c r="G106" s="406">
        <f>ELECTROMECANICA!G109+ALIMENTARIAS!G109+'INOVACION AGRICOLA'!G109+'SERVICIOS ESCOLARES'!G109+'DESARROLLO ACADEMICO'!G109+VINCULACIÓN!G109+PLANEACION!G109+CALIDAD!G109+'ADMON REC'!G109</f>
        <v>93610.76</v>
      </c>
      <c r="H106" s="406">
        <f>ELECTROMECANICA!H109+ALIMENTARIAS!H109+'INOVACION AGRICOLA'!H109+'SERVICIOS ESCOLARES'!H109+'DESARROLLO ACADEMICO'!H109+VINCULACIÓN!H109+PLANEACION!H109+CALIDAD!H109+'ADMON REC'!H109</f>
        <v>425495.84</v>
      </c>
      <c r="I106" s="431">
        <f>ALIMENTARIAS!I110</f>
        <v>0</v>
      </c>
      <c r="J106" s="436"/>
      <c r="K106" s="319">
        <f t="shared" si="7"/>
        <v>519106.60000000003</v>
      </c>
      <c r="L106" s="328"/>
      <c r="M106" s="320">
        <f>C106-K106</f>
        <v>0</v>
      </c>
    </row>
    <row r="107" spans="1:14" x14ac:dyDescent="0.2">
      <c r="A107" s="399">
        <f>'PRES. TOTAL CALENARIZADA 2013'!A110</f>
        <v>5621</v>
      </c>
      <c r="B107" s="400" t="str">
        <f>'PRES. TOTAL CALENARIZADA 2013'!C110</f>
        <v>Maquinaria y equipo industrial</v>
      </c>
      <c r="C107" s="401">
        <f>'PRES. TOTAL CALENARIZADA 2013'!D110</f>
        <v>600000</v>
      </c>
      <c r="D107" s="304"/>
      <c r="E107" s="405">
        <f>ELECTROMECANICA!E110+ALIMENTARIAS!E110+'INOVACION AGRICOLA'!E110+'SERVICIOS ESCOLARES'!E110+'DESARROLLO ACADEMICO'!E110+VINCULACIÓN!E110+PLANEACION!E110+CALIDAD!E110+'ADMON REC'!E110</f>
        <v>0</v>
      </c>
      <c r="F107" s="406">
        <f>ELECTROMECANICA!F110+ALIMENTARIAS!F110+'INOVACION AGRICOLA'!F110+'SERVICIOS ESCOLARES'!F110+'DESARROLLO ACADEMICO'!F110+VINCULACIÓN!F110+PLANEACION!F110+CALIDAD!F110+'ADMON REC'!F110</f>
        <v>0</v>
      </c>
      <c r="G107" s="406">
        <f>ELECTROMECANICA!G110+ALIMENTARIAS!G110+'INOVACION AGRICOLA'!G110+'SERVICIOS ESCOLARES'!G110+'DESARROLLO ACADEMICO'!G110+VINCULACIÓN!G110+PLANEACION!G110+CALIDAD!G110+'ADMON REC'!G110</f>
        <v>0</v>
      </c>
      <c r="H107" s="406">
        <f>ELECTROMECANICA!H110+ALIMENTARIAS!H110+'INOVACION AGRICOLA'!H110+'SERVICIOS ESCOLARES'!H110+'DESARROLLO ACADEMICO'!H110+VINCULACIÓN!H110+PLANEACION!H110+CALIDAD!H110+'ADMON REC'!H110</f>
        <v>600000</v>
      </c>
      <c r="I107" s="431">
        <f>ALIMENTARIAS!I111</f>
        <v>0</v>
      </c>
      <c r="J107" s="436"/>
      <c r="K107" s="319">
        <f t="shared" si="7"/>
        <v>600000</v>
      </c>
      <c r="L107" s="328"/>
      <c r="M107" s="320">
        <f>C107-K107</f>
        <v>0</v>
      </c>
    </row>
    <row r="108" spans="1:14" ht="13.5" thickBot="1" x14ac:dyDescent="0.25">
      <c r="A108" s="402">
        <f>'PRES. TOTAL CALENARIZADA 2013'!A111</f>
        <v>5911</v>
      </c>
      <c r="B108" s="403" t="str">
        <f>'PRES. TOTAL CALENARIZADA 2013'!C111</f>
        <v>Software</v>
      </c>
      <c r="C108" s="404">
        <f>'PRES. TOTAL CALENARIZADA 2013'!D111</f>
        <v>227736.84</v>
      </c>
      <c r="D108" s="304"/>
      <c r="E108" s="407">
        <f>ELECTROMECANICA!E111+ALIMENTARIAS!E111+'INOVACION AGRICOLA'!E111+'SERVICIOS ESCOLARES'!E111+'DESARROLLO ACADEMICO'!E111+VINCULACIÓN!E111+PLANEACION!E111+CALIDAD!E111+'ADMON REC'!E111</f>
        <v>0</v>
      </c>
      <c r="F108" s="408">
        <f>ELECTROMECANICA!F111+ALIMENTARIAS!F111+'INOVACION AGRICOLA'!F111+'SERVICIOS ESCOLARES'!F111+'DESARROLLO ACADEMICO'!F111+VINCULACIÓN!F111+PLANEACION!F111+CALIDAD!F111+'ADMON REC'!F111</f>
        <v>0</v>
      </c>
      <c r="G108" s="408">
        <f>ELECTROMECANICA!G111+ALIMENTARIAS!G111+'INOVACION AGRICOLA'!G111+'SERVICIOS ESCOLARES'!G111+'DESARROLLO ACADEMICO'!G111+VINCULACIÓN!G111+PLANEACION!G111+CALIDAD!G111+'ADMON REC'!G111</f>
        <v>0</v>
      </c>
      <c r="H108" s="408">
        <f>ELECTROMECANICA!H111+ALIMENTARIAS!H111+'INOVACION AGRICOLA'!H111+'SERVICIOS ESCOLARES'!H111+'DESARROLLO ACADEMICO'!H111+VINCULACIÓN!H111+PLANEACION!H111+CALIDAD!H111+'ADMON REC'!H111</f>
        <v>227736.84</v>
      </c>
      <c r="I108" s="432">
        <f>ALIMENTARIAS!I112</f>
        <v>0</v>
      </c>
      <c r="J108" s="437"/>
      <c r="K108" s="321">
        <f t="shared" si="7"/>
        <v>227736.84</v>
      </c>
      <c r="L108" s="328"/>
      <c r="M108" s="322">
        <f>C108-K108</f>
        <v>0</v>
      </c>
    </row>
    <row r="109" spans="1:14" ht="18.75" customHeight="1" thickBot="1" x14ac:dyDescent="0.25">
      <c r="B109" s="306" t="s">
        <v>247</v>
      </c>
      <c r="C109" s="303">
        <f>SUM(C105:C108)</f>
        <v>1581843.4400000002</v>
      </c>
      <c r="D109" s="422"/>
      <c r="E109" s="303">
        <f t="shared" ref="E109:J109" si="10">SUM(E105:E108)</f>
        <v>0</v>
      </c>
      <c r="F109" s="303">
        <f t="shared" si="10"/>
        <v>0</v>
      </c>
      <c r="G109" s="303">
        <f t="shared" si="10"/>
        <v>93610.76</v>
      </c>
      <c r="H109" s="303">
        <f t="shared" si="10"/>
        <v>1488232.6800000002</v>
      </c>
      <c r="I109" s="250">
        <f t="shared" si="10"/>
        <v>0</v>
      </c>
      <c r="J109" s="250">
        <f t="shared" si="10"/>
        <v>0</v>
      </c>
      <c r="K109" s="325"/>
      <c r="L109" s="325"/>
      <c r="M109" s="325"/>
    </row>
    <row r="110" spans="1:14" ht="34.5" customHeight="1" thickBot="1" x14ac:dyDescent="0.25">
      <c r="A110" s="454" t="s">
        <v>248</v>
      </c>
      <c r="B110" s="455"/>
      <c r="C110" s="448">
        <f>C25+C64+C102+C104+C109</f>
        <v>22282958.440000001</v>
      </c>
      <c r="D110" s="389"/>
      <c r="E110" s="420">
        <f t="shared" ref="E110:J110" si="11">E25+E64+E102+E104+E109</f>
        <v>8300946.1899999995</v>
      </c>
      <c r="F110" s="421">
        <f t="shared" si="11"/>
        <v>8088899.5300000003</v>
      </c>
      <c r="G110" s="421">
        <f t="shared" si="11"/>
        <v>1168110.76</v>
      </c>
      <c r="H110" s="421">
        <f t="shared" si="11"/>
        <v>4566228.83</v>
      </c>
      <c r="I110" s="419">
        <f t="shared" si="11"/>
        <v>78773.12999999999</v>
      </c>
      <c r="J110" s="419">
        <f t="shared" si="11"/>
        <v>80000</v>
      </c>
      <c r="K110" s="452"/>
      <c r="L110" s="450"/>
      <c r="M110" s="325"/>
    </row>
    <row r="111" spans="1:14" s="350" customFormat="1" ht="26.25" customHeight="1" x14ac:dyDescent="0.2">
      <c r="A111" s="458" t="s">
        <v>142</v>
      </c>
      <c r="B111" s="458"/>
      <c r="C111" s="449"/>
      <c r="D111" s="449"/>
      <c r="E111" s="458" t="s">
        <v>279</v>
      </c>
      <c r="F111" s="458"/>
      <c r="G111" s="449"/>
      <c r="H111" s="458" t="s">
        <v>280</v>
      </c>
      <c r="I111" s="458"/>
      <c r="J111" s="449"/>
      <c r="K111" s="450"/>
      <c r="L111" s="451"/>
      <c r="M111" s="450"/>
      <c r="N111" s="451"/>
    </row>
    <row r="112" spans="1:14" s="350" customFormat="1" ht="14.25" customHeight="1" x14ac:dyDescent="0.2">
      <c r="A112" s="458" t="s">
        <v>278</v>
      </c>
      <c r="B112" s="458"/>
      <c r="C112" s="449"/>
      <c r="D112" s="449"/>
      <c r="E112" s="458" t="s">
        <v>132</v>
      </c>
      <c r="F112" s="458"/>
      <c r="G112" s="449"/>
      <c r="H112" s="458" t="s">
        <v>281</v>
      </c>
      <c r="I112" s="458"/>
      <c r="J112" s="449"/>
      <c r="K112" s="450"/>
      <c r="L112" s="451"/>
      <c r="M112" s="450"/>
      <c r="N112" s="451"/>
    </row>
    <row r="113" spans="1:14" s="350" customFormat="1" ht="14.25" customHeight="1" x14ac:dyDescent="0.2">
      <c r="A113" s="449"/>
      <c r="B113" s="449"/>
      <c r="C113" s="449"/>
      <c r="D113" s="425"/>
      <c r="E113" s="425"/>
      <c r="F113" s="425"/>
      <c r="G113" s="449"/>
      <c r="H113" s="425"/>
      <c r="I113" s="425"/>
      <c r="J113" s="449"/>
      <c r="K113" s="450"/>
      <c r="L113" s="451"/>
      <c r="M113" s="450"/>
      <c r="N113" s="451"/>
    </row>
    <row r="114" spans="1:14" ht="19.899999999999999" customHeight="1" x14ac:dyDescent="0.2">
      <c r="A114" s="251" t="s">
        <v>235</v>
      </c>
      <c r="B114" s="272"/>
      <c r="C114" s="250">
        <f>C25+C64+C102+C104+C109</f>
        <v>22282958.440000001</v>
      </c>
      <c r="E114" s="250">
        <f t="shared" ref="E114:I114" si="12">E25+E64+E102+E104+E109</f>
        <v>8300946.1899999995</v>
      </c>
      <c r="F114" s="250">
        <f t="shared" si="12"/>
        <v>8088899.5300000003</v>
      </c>
      <c r="G114" s="250">
        <f t="shared" si="12"/>
        <v>1168110.76</v>
      </c>
      <c r="H114" s="250">
        <f t="shared" si="12"/>
        <v>4566228.83</v>
      </c>
      <c r="I114" s="250">
        <f t="shared" si="12"/>
        <v>78773.12999999999</v>
      </c>
      <c r="J114" s="250"/>
      <c r="K114" s="330">
        <f>SUM(K10:K108)</f>
        <v>22282958.440000001</v>
      </c>
      <c r="L114" s="330"/>
      <c r="M114" s="330">
        <f t="shared" ref="M114" si="13">SUM(M10:M103)</f>
        <v>0</v>
      </c>
    </row>
    <row r="115" spans="1:14" x14ac:dyDescent="0.2">
      <c r="C115" s="120"/>
      <c r="E115" s="120"/>
      <c r="F115" s="120"/>
      <c r="G115" s="120"/>
      <c r="H115" s="120"/>
      <c r="I115" s="120"/>
      <c r="J115" s="120"/>
      <c r="K115" s="325"/>
      <c r="M115" s="325"/>
    </row>
    <row r="116" spans="1:14" x14ac:dyDescent="0.2">
      <c r="C116" s="120"/>
      <c r="E116" s="120"/>
      <c r="F116" s="120"/>
      <c r="G116" s="120"/>
      <c r="H116" s="120"/>
      <c r="I116" s="120"/>
      <c r="J116" s="120"/>
      <c r="K116" s="325"/>
      <c r="M116" s="325"/>
    </row>
    <row r="117" spans="1:14" x14ac:dyDescent="0.2">
      <c r="E117" s="253"/>
      <c r="F117" s="253"/>
      <c r="G117" s="120"/>
      <c r="H117" s="120"/>
      <c r="I117" s="120"/>
      <c r="J117" s="120"/>
      <c r="K117" s="325"/>
      <c r="M117" s="325"/>
    </row>
    <row r="118" spans="1:14" x14ac:dyDescent="0.2">
      <c r="C118" s="120"/>
      <c r="E118" s="120"/>
      <c r="F118" s="120"/>
      <c r="G118" s="120"/>
      <c r="H118" s="120"/>
      <c r="I118" s="120"/>
      <c r="J118" s="120"/>
      <c r="K118" s="325"/>
      <c r="M118" s="325"/>
    </row>
    <row r="119" spans="1:14" x14ac:dyDescent="0.2">
      <c r="C119" s="120"/>
      <c r="E119" s="120"/>
      <c r="F119" s="120"/>
      <c r="G119" s="120"/>
      <c r="H119" s="120"/>
      <c r="I119" s="120"/>
      <c r="J119" s="120"/>
      <c r="K119" s="325"/>
      <c r="M119" s="325"/>
    </row>
    <row r="120" spans="1:14" ht="13.5" thickBot="1" x14ac:dyDescent="0.25">
      <c r="C120" s="120">
        <v>22282958.440000001</v>
      </c>
      <c r="E120" s="120"/>
      <c r="F120" s="120"/>
      <c r="G120" s="120"/>
      <c r="H120" s="120"/>
      <c r="I120" s="120"/>
      <c r="J120" s="120"/>
      <c r="K120" s="325"/>
      <c r="M120" s="325"/>
    </row>
    <row r="121" spans="1:14" ht="13.5" thickBot="1" x14ac:dyDescent="0.25">
      <c r="A121" s="438"/>
      <c r="C121" s="255"/>
      <c r="D121" s="256"/>
      <c r="E121" s="257"/>
      <c r="F121" s="257"/>
      <c r="G121" s="257"/>
      <c r="H121" s="257"/>
      <c r="I121" s="258"/>
      <c r="J121" s="430"/>
      <c r="K121" s="325"/>
      <c r="M121" s="325"/>
    </row>
    <row r="122" spans="1:14" x14ac:dyDescent="0.2">
      <c r="K122" s="325"/>
      <c r="M122" s="325"/>
    </row>
    <row r="123" spans="1:14" x14ac:dyDescent="0.2">
      <c r="C123" s="120"/>
      <c r="E123" s="120"/>
      <c r="F123" s="120"/>
      <c r="G123" s="120"/>
      <c r="H123" s="120"/>
      <c r="I123" s="120"/>
      <c r="J123" s="120"/>
      <c r="K123" s="325"/>
      <c r="M123" s="325"/>
    </row>
    <row r="124" spans="1:14" x14ac:dyDescent="0.2">
      <c r="C124" s="120"/>
      <c r="E124" s="120"/>
      <c r="F124" s="120"/>
      <c r="G124" s="120"/>
      <c r="H124" s="120"/>
      <c r="I124" s="120"/>
      <c r="J124" s="120"/>
      <c r="K124" s="325"/>
      <c r="M124" s="325"/>
    </row>
    <row r="125" spans="1:14" x14ac:dyDescent="0.2">
      <c r="C125" s="120"/>
      <c r="E125" s="120"/>
      <c r="F125" s="120"/>
      <c r="G125" s="120"/>
      <c r="H125" s="120"/>
      <c r="I125" s="120"/>
      <c r="J125" s="120"/>
      <c r="K125" s="325"/>
      <c r="M125" s="325"/>
    </row>
    <row r="126" spans="1:14" x14ac:dyDescent="0.2">
      <c r="C126" s="120"/>
      <c r="E126" s="120"/>
      <c r="F126" s="120"/>
      <c r="G126" s="120"/>
      <c r="H126" s="120"/>
      <c r="I126" s="120"/>
      <c r="J126" s="120"/>
      <c r="K126" s="325"/>
      <c r="M126" s="325"/>
    </row>
    <row r="127" spans="1:14" x14ac:dyDescent="0.2">
      <c r="C127" s="120"/>
      <c r="E127" s="120"/>
      <c r="F127" s="120"/>
      <c r="G127" s="120"/>
      <c r="H127" s="120"/>
      <c r="I127" s="120"/>
      <c r="J127" s="120"/>
      <c r="K127" s="325"/>
      <c r="M127" s="325"/>
    </row>
    <row r="128" spans="1:14" x14ac:dyDescent="0.2">
      <c r="C128" s="120"/>
      <c r="E128" s="120"/>
      <c r="F128" s="120"/>
      <c r="G128" s="120"/>
      <c r="H128" s="120"/>
      <c r="I128" s="120"/>
      <c r="J128" s="120"/>
      <c r="K128" s="325"/>
      <c r="M128" s="325"/>
    </row>
    <row r="129" spans="2:13" x14ac:dyDescent="0.2">
      <c r="B129" s="424"/>
      <c r="C129" s="120"/>
      <c r="E129" s="120"/>
      <c r="F129" s="120">
        <v>87483.4</v>
      </c>
      <c r="G129" s="120"/>
      <c r="H129" s="120"/>
      <c r="I129" s="120"/>
      <c r="J129" s="120"/>
      <c r="K129" s="325"/>
      <c r="M129" s="325"/>
    </row>
    <row r="130" spans="2:13" x14ac:dyDescent="0.2">
      <c r="C130" s="120"/>
      <c r="E130" s="120"/>
      <c r="F130" s="120">
        <v>143264.13</v>
      </c>
      <c r="G130" s="120"/>
      <c r="H130" s="120"/>
      <c r="I130" s="120"/>
      <c r="J130" s="120"/>
      <c r="K130" s="325"/>
      <c r="M130" s="325"/>
    </row>
    <row r="131" spans="2:13" x14ac:dyDescent="0.2">
      <c r="C131" s="120"/>
      <c r="E131" s="120"/>
      <c r="F131" s="120">
        <v>92435.68</v>
      </c>
      <c r="G131" s="120"/>
      <c r="H131" s="120"/>
      <c r="I131" s="120"/>
      <c r="J131" s="120"/>
      <c r="K131" s="325"/>
      <c r="M131" s="325"/>
    </row>
    <row r="132" spans="2:13" x14ac:dyDescent="0.2">
      <c r="C132" s="120"/>
      <c r="E132" s="120"/>
      <c r="F132" s="120">
        <f>SUM(F129:F131)</f>
        <v>323183.20999999996</v>
      </c>
      <c r="G132" s="120"/>
      <c r="H132" s="120"/>
      <c r="I132" s="120"/>
      <c r="J132" s="120"/>
      <c r="K132" s="325"/>
      <c r="M132" s="325"/>
    </row>
    <row r="133" spans="2:13" x14ac:dyDescent="0.2">
      <c r="C133" s="120"/>
      <c r="E133" s="120"/>
      <c r="F133" s="120"/>
      <c r="G133" s="120"/>
      <c r="H133" s="120"/>
      <c r="I133" s="120"/>
      <c r="J133" s="120"/>
      <c r="K133" s="325"/>
      <c r="M133" s="325"/>
    </row>
    <row r="134" spans="2:13" x14ac:dyDescent="0.2">
      <c r="C134" s="120"/>
      <c r="E134" s="120"/>
      <c r="F134" s="120"/>
      <c r="G134" s="120"/>
      <c r="H134" s="120"/>
      <c r="I134" s="120"/>
      <c r="J134" s="120"/>
      <c r="K134" s="325"/>
      <c r="M134" s="325"/>
    </row>
    <row r="135" spans="2:13" x14ac:dyDescent="0.2">
      <c r="C135" s="120"/>
      <c r="E135" s="120"/>
      <c r="F135" s="120"/>
      <c r="G135" s="120"/>
      <c r="H135" s="120"/>
      <c r="I135" s="120"/>
      <c r="J135" s="120"/>
      <c r="K135" s="325"/>
      <c r="M135" s="325"/>
    </row>
    <row r="136" spans="2:13" x14ac:dyDescent="0.2">
      <c r="C136" s="120"/>
      <c r="E136" s="120"/>
      <c r="F136" s="120"/>
      <c r="G136" s="120"/>
      <c r="H136" s="120"/>
      <c r="I136" s="120"/>
      <c r="J136" s="120"/>
      <c r="K136" s="325"/>
      <c r="M136" s="325"/>
    </row>
    <row r="137" spans="2:13" x14ac:dyDescent="0.2">
      <c r="C137" s="120"/>
      <c r="E137" s="120"/>
      <c r="F137" s="120"/>
      <c r="G137" s="120"/>
      <c r="H137" s="120"/>
      <c r="I137" s="120"/>
      <c r="J137" s="120"/>
      <c r="K137" s="325"/>
      <c r="M137" s="325"/>
    </row>
    <row r="138" spans="2:13" x14ac:dyDescent="0.2">
      <c r="C138" s="120"/>
      <c r="E138" s="120"/>
      <c r="F138" s="120"/>
      <c r="G138" s="120"/>
      <c r="H138" s="120"/>
      <c r="I138" s="120"/>
      <c r="J138" s="120"/>
      <c r="K138" s="325"/>
      <c r="M138" s="325"/>
    </row>
    <row r="139" spans="2:13" x14ac:dyDescent="0.2">
      <c r="C139" s="120"/>
      <c r="E139" s="120"/>
      <c r="G139" s="120"/>
      <c r="H139" s="120"/>
      <c r="I139" s="120"/>
      <c r="J139" s="120"/>
      <c r="K139" s="325"/>
      <c r="M139" s="325"/>
    </row>
    <row r="140" spans="2:13" x14ac:dyDescent="0.2">
      <c r="C140" s="120"/>
      <c r="E140" s="120"/>
      <c r="G140" s="120"/>
      <c r="H140" s="120"/>
      <c r="I140" s="120"/>
      <c r="J140" s="120"/>
      <c r="K140" s="325"/>
      <c r="M140" s="325"/>
    </row>
    <row r="141" spans="2:13" x14ac:dyDescent="0.2">
      <c r="C141" s="120"/>
      <c r="E141" s="120"/>
      <c r="F141" s="120"/>
      <c r="G141" s="120"/>
      <c r="H141" s="120"/>
      <c r="I141" s="120"/>
      <c r="J141" s="120"/>
      <c r="K141" s="325"/>
      <c r="M141" s="325"/>
    </row>
    <row r="142" spans="2:13" x14ac:dyDescent="0.2">
      <c r="C142" s="120"/>
      <c r="E142" s="120"/>
      <c r="G142" s="120"/>
      <c r="H142" s="120"/>
      <c r="I142" s="120"/>
      <c r="J142" s="120"/>
      <c r="K142" s="325"/>
      <c r="M142" s="325"/>
    </row>
    <row r="143" spans="2:13" x14ac:dyDescent="0.2">
      <c r="C143" s="120"/>
      <c r="E143" s="120"/>
      <c r="F143" s="120"/>
      <c r="G143" s="120"/>
      <c r="H143" s="120"/>
      <c r="I143" s="120"/>
      <c r="J143" s="120"/>
      <c r="K143" s="325"/>
      <c r="M143" s="325"/>
    </row>
    <row r="144" spans="2:13" x14ac:dyDescent="0.2">
      <c r="C144" s="120"/>
      <c r="E144" s="120"/>
      <c r="F144" s="120"/>
      <c r="G144" s="120"/>
      <c r="H144" s="120"/>
      <c r="I144" s="120"/>
      <c r="J144" s="120"/>
      <c r="K144" s="325"/>
      <c r="M144" s="325"/>
    </row>
    <row r="145" spans="3:13" x14ac:dyDescent="0.2">
      <c r="C145" s="120"/>
      <c r="E145" s="120"/>
      <c r="F145" s="120"/>
      <c r="G145" s="120"/>
      <c r="H145" s="120"/>
      <c r="I145" s="120"/>
      <c r="J145" s="120"/>
      <c r="K145" s="325"/>
      <c r="M145" s="325"/>
    </row>
    <row r="146" spans="3:13" x14ac:dyDescent="0.2">
      <c r="C146" s="120"/>
      <c r="E146" s="120"/>
      <c r="F146" s="120"/>
      <c r="G146" s="120"/>
      <c r="H146" s="120"/>
      <c r="I146" s="120"/>
      <c r="J146" s="120"/>
      <c r="K146" s="325"/>
      <c r="M146" s="325"/>
    </row>
    <row r="147" spans="3:13" x14ac:dyDescent="0.2">
      <c r="C147" s="120"/>
      <c r="E147" s="120"/>
      <c r="F147" s="120"/>
      <c r="G147" s="120"/>
      <c r="H147" s="120"/>
      <c r="I147" s="120"/>
      <c r="J147" s="120"/>
      <c r="K147" s="325"/>
      <c r="M147" s="325"/>
    </row>
    <row r="148" spans="3:13" x14ac:dyDescent="0.2">
      <c r="C148" s="120"/>
      <c r="E148" s="120"/>
      <c r="F148" s="120"/>
      <c r="G148" s="120"/>
      <c r="H148" s="120"/>
      <c r="I148" s="120"/>
      <c r="J148" s="120"/>
      <c r="K148" s="325"/>
      <c r="M148" s="325"/>
    </row>
    <row r="149" spans="3:13" x14ac:dyDescent="0.2">
      <c r="C149" s="120"/>
      <c r="E149" s="120"/>
      <c r="F149" s="120"/>
      <c r="G149" s="120"/>
      <c r="H149" s="120"/>
      <c r="I149" s="120"/>
      <c r="J149" s="120"/>
      <c r="K149" s="325"/>
      <c r="M149" s="325"/>
    </row>
    <row r="150" spans="3:13" x14ac:dyDescent="0.2">
      <c r="C150" s="120"/>
      <c r="E150" s="120"/>
      <c r="F150" s="120"/>
      <c r="G150" s="120"/>
      <c r="H150" s="120"/>
      <c r="I150" s="120"/>
      <c r="J150" s="120"/>
      <c r="K150" s="325"/>
      <c r="M150" s="325"/>
    </row>
    <row r="151" spans="3:13" x14ac:dyDescent="0.2">
      <c r="C151" s="120"/>
      <c r="E151" s="120"/>
      <c r="F151" s="120"/>
      <c r="G151" s="120"/>
      <c r="H151" s="120"/>
      <c r="I151" s="120"/>
      <c r="J151" s="120"/>
      <c r="K151" s="325"/>
      <c r="M151" s="325"/>
    </row>
    <row r="152" spans="3:13" x14ac:dyDescent="0.2">
      <c r="C152" s="120"/>
      <c r="E152" s="120"/>
      <c r="F152" s="120"/>
      <c r="G152" s="120"/>
      <c r="H152" s="120"/>
      <c r="I152" s="120"/>
      <c r="J152" s="120"/>
      <c r="K152" s="325"/>
      <c r="M152" s="325"/>
    </row>
    <row r="153" spans="3:13" x14ac:dyDescent="0.2">
      <c r="C153" s="120"/>
      <c r="E153" s="120"/>
      <c r="F153" s="120"/>
      <c r="G153" s="120"/>
      <c r="H153" s="120"/>
      <c r="I153" s="120"/>
      <c r="J153" s="120"/>
      <c r="K153" s="325"/>
      <c r="M153" s="325"/>
    </row>
    <row r="154" spans="3:13" x14ac:dyDescent="0.2">
      <c r="C154" s="120"/>
      <c r="E154" s="120"/>
      <c r="F154" s="120"/>
      <c r="G154" s="120"/>
      <c r="H154" s="120"/>
      <c r="I154" s="120"/>
      <c r="J154" s="120"/>
      <c r="K154" s="325"/>
      <c r="M154" s="325"/>
    </row>
    <row r="155" spans="3:13" x14ac:dyDescent="0.2">
      <c r="C155" s="120"/>
      <c r="E155" s="120"/>
      <c r="F155" s="120"/>
      <c r="G155" s="120"/>
      <c r="H155" s="120"/>
      <c r="I155" s="120"/>
      <c r="J155" s="120"/>
      <c r="K155" s="325"/>
      <c r="M155" s="325"/>
    </row>
    <row r="156" spans="3:13" x14ac:dyDescent="0.2">
      <c r="C156" s="120"/>
      <c r="E156" s="120"/>
      <c r="F156" s="120"/>
      <c r="G156" s="120"/>
      <c r="H156" s="120"/>
      <c r="I156" s="120"/>
      <c r="J156" s="120"/>
      <c r="K156" s="325"/>
      <c r="M156" s="325"/>
    </row>
    <row r="157" spans="3:13" x14ac:dyDescent="0.2">
      <c r="C157" s="120"/>
      <c r="E157" s="120"/>
      <c r="F157" s="120"/>
      <c r="G157" s="120"/>
      <c r="H157" s="120"/>
      <c r="I157" s="120"/>
      <c r="J157" s="120"/>
      <c r="K157" s="325"/>
      <c r="M157" s="325"/>
    </row>
    <row r="158" spans="3:13" x14ac:dyDescent="0.2">
      <c r="C158" s="120"/>
      <c r="E158" s="120"/>
      <c r="F158" s="120"/>
      <c r="G158" s="120"/>
      <c r="H158" s="120"/>
      <c r="I158" s="120"/>
      <c r="J158" s="120"/>
      <c r="K158" s="325"/>
      <c r="M158" s="325"/>
    </row>
    <row r="159" spans="3:13" x14ac:dyDescent="0.2">
      <c r="C159" s="120"/>
      <c r="E159" s="120"/>
      <c r="F159" s="120"/>
      <c r="G159" s="120"/>
      <c r="H159" s="120"/>
      <c r="I159" s="120"/>
      <c r="J159" s="120"/>
      <c r="K159" s="325"/>
      <c r="M159" s="325"/>
    </row>
    <row r="160" spans="3:13" x14ac:dyDescent="0.2">
      <c r="C160" s="120"/>
      <c r="E160" s="120"/>
      <c r="F160" s="120"/>
      <c r="G160" s="120"/>
      <c r="H160" s="120"/>
      <c r="I160" s="120"/>
      <c r="J160" s="120"/>
      <c r="K160" s="325"/>
      <c r="M160" s="325"/>
    </row>
    <row r="161" spans="3:13" x14ac:dyDescent="0.2">
      <c r="C161" s="120"/>
      <c r="E161" s="120"/>
      <c r="F161" s="120"/>
      <c r="G161" s="120"/>
      <c r="H161" s="120"/>
      <c r="I161" s="120"/>
      <c r="J161" s="120"/>
      <c r="K161" s="325"/>
      <c r="M161" s="325"/>
    </row>
  </sheetData>
  <mergeCells count="9">
    <mergeCell ref="A1:K4"/>
    <mergeCell ref="A110:B110"/>
    <mergeCell ref="E8:J8"/>
    <mergeCell ref="H112:I112"/>
    <mergeCell ref="A112:B112"/>
    <mergeCell ref="A111:B111"/>
    <mergeCell ref="E111:F111"/>
    <mergeCell ref="E112:F112"/>
    <mergeCell ref="H111:I1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0"/>
  <sheetViews>
    <sheetView view="pageBreakPreview" zoomScale="90" zoomScaleSheetLayoutView="90" workbookViewId="0">
      <selection activeCell="H36" sqref="H36"/>
    </sheetView>
  </sheetViews>
  <sheetFormatPr baseColWidth="10" defaultRowHeight="12.75" x14ac:dyDescent="0.2"/>
  <cols>
    <col min="1" max="1" width="11.42578125" style="332"/>
    <col min="2" max="2" width="34.140625" style="334" customWidth="1"/>
    <col min="3" max="3" width="16.5703125" customWidth="1"/>
    <col min="4" max="4" width="2.140625" customWidth="1"/>
    <col min="5" max="5" width="15.85546875" customWidth="1"/>
    <col min="6" max="6" width="16.28515625" customWidth="1"/>
    <col min="7" max="7" width="17.140625" customWidth="1"/>
    <col min="8" max="8" width="15.42578125" customWidth="1"/>
    <col min="9" max="9" width="12.7109375" customWidth="1"/>
    <col min="10" max="10" width="2.42578125" style="252" customWidth="1"/>
    <col min="11" max="11" width="16.28515625" style="352" customWidth="1"/>
    <col min="12" max="12" width="20.42578125" style="326" customWidth="1"/>
    <col min="13" max="13" width="2.140625" style="326" customWidth="1"/>
    <col min="14" max="14" width="19.42578125" style="326" customWidth="1"/>
  </cols>
  <sheetData>
    <row r="1" spans="1:15" ht="12.75" customHeight="1" x14ac:dyDescent="0.2">
      <c r="A1" s="459" t="s">
        <v>239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</row>
    <row r="2" spans="1:15" ht="12.75" customHeight="1" x14ac:dyDescent="0.2">
      <c r="A2" s="459"/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</row>
    <row r="3" spans="1:15" ht="20.25" customHeight="1" x14ac:dyDescent="0.2">
      <c r="A3" s="459"/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</row>
    <row r="4" spans="1:15" ht="20.25" customHeight="1" x14ac:dyDescent="0.2">
      <c r="A4" s="459"/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</row>
    <row r="5" spans="1:15" x14ac:dyDescent="0.2">
      <c r="A5" s="378"/>
      <c r="B5" s="379"/>
      <c r="C5" s="350"/>
      <c r="D5" s="350"/>
      <c r="E5" s="350"/>
      <c r="F5" s="350"/>
      <c r="G5" s="350"/>
      <c r="H5" s="350"/>
      <c r="I5" s="350"/>
      <c r="J5" s="352"/>
    </row>
    <row r="6" spans="1:15" x14ac:dyDescent="0.2">
      <c r="A6" s="380" t="s">
        <v>261</v>
      </c>
      <c r="C6" s="350"/>
      <c r="D6" s="350"/>
      <c r="E6" s="391" t="s">
        <v>255</v>
      </c>
      <c r="G6" s="380"/>
      <c r="H6" s="350"/>
      <c r="I6" s="350"/>
      <c r="J6" s="352"/>
    </row>
    <row r="7" spans="1:15" ht="13.5" thickBot="1" x14ac:dyDescent="0.25">
      <c r="A7" s="378"/>
      <c r="B7" s="380"/>
      <c r="C7" s="350"/>
      <c r="D7" s="350"/>
      <c r="E7" s="350"/>
      <c r="F7" s="350"/>
      <c r="G7" s="380"/>
      <c r="H7" s="350"/>
      <c r="I7" s="350"/>
      <c r="J7" s="352"/>
    </row>
    <row r="8" spans="1:15" ht="24" customHeight="1" thickBot="1" x14ac:dyDescent="0.25">
      <c r="A8" s="378"/>
      <c r="B8" s="379"/>
      <c r="C8" s="350"/>
      <c r="D8" s="350"/>
      <c r="E8" s="460" t="s">
        <v>250</v>
      </c>
      <c r="F8" s="461"/>
      <c r="G8" s="461"/>
      <c r="H8" s="461"/>
      <c r="I8" s="462"/>
      <c r="J8" s="358"/>
      <c r="K8" s="358"/>
    </row>
    <row r="9" spans="1:15" ht="13.5" thickBot="1" x14ac:dyDescent="0.25">
      <c r="A9" s="276" t="s">
        <v>237</v>
      </c>
      <c r="B9" s="278" t="s">
        <v>245</v>
      </c>
      <c r="C9" s="277" t="s">
        <v>246</v>
      </c>
      <c r="D9" s="350"/>
      <c r="E9" s="276" t="s">
        <v>172</v>
      </c>
      <c r="F9" s="278" t="s">
        <v>125</v>
      </c>
      <c r="G9" s="278" t="s">
        <v>240</v>
      </c>
      <c r="H9" s="278" t="s">
        <v>127</v>
      </c>
      <c r="I9" s="277" t="s">
        <v>238</v>
      </c>
      <c r="J9" s="359"/>
      <c r="K9" s="372" t="s">
        <v>253</v>
      </c>
      <c r="N9" s="363"/>
    </row>
    <row r="10" spans="1:15" x14ac:dyDescent="0.2">
      <c r="A10" s="279">
        <f>'PRES. TOTAL CALENARIZADA 2013'!A13</f>
        <v>1131</v>
      </c>
      <c r="B10" s="280" t="str">
        <f>'PRES. TOTAL CALENARIZADA 2013'!C13</f>
        <v>Sueldo base</v>
      </c>
      <c r="C10" s="281">
        <f>'PRES. TOTAL CALENARIZADA 2013'!D13-K10</f>
        <v>5222429.16</v>
      </c>
      <c r="D10" s="352"/>
      <c r="E10" s="288">
        <f>ELECTROMECANICA!E13+ALIMENTARIAS!E13+'INOVACION AGRICOLA'!E13+'SERVICIOS ESCOLARES'!E13+'DESARROLLO ACADEMICO'!E13+VINCULACIÓN!E13+PLANEACION!E13+CALIDAD!E13+'ADMON REC'!E13</f>
        <v>2611214.58</v>
      </c>
      <c r="F10" s="289">
        <f>ELECTROMECANICA!F13+ALIMENTARIAS!F13+'INOVACION AGRICOLA'!F13+'SERVICIOS ESCOLARES'!F13+'DESARROLLO ACADEMICO'!F13+VINCULACIÓN!F13+PLANEACION!F13+CALIDAD!F13+'ADMON REC'!F13</f>
        <v>2611214.58</v>
      </c>
      <c r="G10" s="289">
        <f>ELECTROMECANICA!G13+ALIMENTARIAS!G13+'INOVACION AGRICOLA'!G13+'SERVICIOS ESCOLARES'!G13+'DESARROLLO ACADEMICO'!G13+VINCULACIÓN!G13+PLANEACION!G13+CALIDAD!G13+'ADMON REC'!G13</f>
        <v>0</v>
      </c>
      <c r="H10" s="289">
        <f>ELECTROMECANICA!H13+ALIMENTARIAS!H13+'INOVACION AGRICOLA'!H13+'SERVICIOS ESCOLARES'!H13+'DESARROLLO ACADEMICO'!H13+VINCULACIÓN!H13+PLANEACION!H13+CALIDAD!H13+'ADMON REC'!H13</f>
        <v>0</v>
      </c>
      <c r="I10" s="281">
        <f>ALIMENTARIAS!I13</f>
        <v>0</v>
      </c>
      <c r="J10" s="365"/>
      <c r="K10" s="373">
        <v>0</v>
      </c>
      <c r="L10" s="368"/>
      <c r="M10" s="369"/>
      <c r="N10" s="368"/>
      <c r="O10" s="350"/>
    </row>
    <row r="11" spans="1:15" x14ac:dyDescent="0.2">
      <c r="A11" s="282">
        <f>'PRES. TOTAL CALENARIZADA 2013'!A14</f>
        <v>1211</v>
      </c>
      <c r="B11" s="283" t="str">
        <f>'PRES. TOTAL CALENARIZADA 2013'!C14</f>
        <v>Honorarios asimilables a salarios</v>
      </c>
      <c r="C11" s="284">
        <f>'PRES. TOTAL CALENARIZADA 2013'!D14-K11</f>
        <v>3245095.8500000006</v>
      </c>
      <c r="D11" s="352"/>
      <c r="E11" s="290">
        <f>ELECTROMECANICA!E14+ALIMENTARIAS!E14+'INOVACION AGRICOLA'!E14+'SERVICIOS ESCOLARES'!E14+'DESARROLLO ACADEMICO'!E14+VINCULACIÓN!E14+PLANEACION!E14+CALIDAD!E14+'ADMON REC'!E14</f>
        <v>1357118.85</v>
      </c>
      <c r="F11" s="291">
        <f>ELECTROMECANICA!F14+ALIMENTARIAS!F14+'INOVACION AGRICOLA'!F14+'SERVICIOS ESCOLARES'!F14+'DESARROLLO ACADEMICO'!F14+VINCULACIÓN!F14+PLANEACION!F14+CALIDAD!F14+'ADMON REC'!F14</f>
        <v>1357118.85</v>
      </c>
      <c r="G11" s="291">
        <f>ELECTROMECANICA!G14+ALIMENTARIAS!G14+'INOVACION AGRICOLA'!G14+'SERVICIOS ESCOLARES'!G14+'DESARROLLO ACADEMICO'!G14+VINCULACIÓN!G14+PLANEACION!G14+CALIDAD!G14+'ADMON REC'!G14</f>
        <v>0</v>
      </c>
      <c r="H11" s="291">
        <f>ELECTROMECANICA!H14+ALIMENTARIAS!H14+'INOVACION AGRICOLA'!H14+'SERVICIOS ESCOLARES'!H14+'DESARROLLO ACADEMICO'!H14+VINCULACIÓN!H14+PLANEACION!H14+CALIDAD!H14+'ADMON REC'!H14</f>
        <v>530858.15</v>
      </c>
      <c r="I11" s="284">
        <f>ALIMENTARIAS!I14</f>
        <v>0</v>
      </c>
      <c r="J11" s="365"/>
      <c r="K11" s="374">
        <v>0</v>
      </c>
      <c r="L11" s="368"/>
      <c r="M11" s="369"/>
      <c r="N11" s="368"/>
      <c r="O11" s="350"/>
    </row>
    <row r="12" spans="1:15" ht="22.5" x14ac:dyDescent="0.2">
      <c r="A12" s="282">
        <f>'PRES. TOTAL CALENARIZADA 2013'!A15</f>
        <v>1311</v>
      </c>
      <c r="B12" s="283" t="str">
        <f>'PRES. TOTAL CALENARIZADA 2013'!C15</f>
        <v>Prima quinquenal por años de servicio efectivos prestados</v>
      </c>
      <c r="C12" s="284">
        <f>'PRES. TOTAL CALENARIZADA 2013'!D15-K12</f>
        <v>437727.67999999993</v>
      </c>
      <c r="D12" s="352"/>
      <c r="E12" s="290">
        <f>ELECTROMECANICA!E15+ALIMENTARIAS!E15+'INOVACION AGRICOLA'!E15+'SERVICIOS ESCOLARES'!E15+'DESARROLLO ACADEMICO'!E15+VINCULACIÓN!E15+PLANEACION!E15+CALIDAD!E15+'ADMON REC'!E15</f>
        <v>218863.84</v>
      </c>
      <c r="F12" s="291">
        <f>ELECTROMECANICA!F15+ALIMENTARIAS!F15+'INOVACION AGRICOLA'!F15+'SERVICIOS ESCOLARES'!F15+'DESARROLLO ACADEMICO'!F15+VINCULACIÓN!F15+PLANEACION!F15+CALIDAD!F15+'ADMON REC'!F15</f>
        <v>218863.84</v>
      </c>
      <c r="G12" s="291">
        <f>ELECTROMECANICA!G15+ALIMENTARIAS!G15+'INOVACION AGRICOLA'!G15+'SERVICIOS ESCOLARES'!G15+'DESARROLLO ACADEMICO'!G15+VINCULACIÓN!G15+PLANEACION!G15+CALIDAD!G15+'ADMON REC'!G15</f>
        <v>0</v>
      </c>
      <c r="H12" s="291">
        <f>ELECTROMECANICA!H15+ALIMENTARIAS!H15+'INOVACION AGRICOLA'!H15+'SERVICIOS ESCOLARES'!H15+'DESARROLLO ACADEMICO'!H15+VINCULACIÓN!H15+PLANEACION!H15+CALIDAD!H15+'ADMON REC'!H15</f>
        <v>0</v>
      </c>
      <c r="I12" s="284">
        <f>ALIMENTARIAS!I15</f>
        <v>0</v>
      </c>
      <c r="J12" s="365"/>
      <c r="K12" s="374">
        <v>0</v>
      </c>
      <c r="L12" s="368"/>
      <c r="M12" s="369"/>
      <c r="N12" s="368"/>
      <c r="O12" s="350"/>
    </row>
    <row r="13" spans="1:15" x14ac:dyDescent="0.2">
      <c r="A13" s="282">
        <f>'PRES. TOTAL CALENARIZADA 2013'!A16</f>
        <v>1321</v>
      </c>
      <c r="B13" s="283" t="str">
        <f>'PRES. TOTAL CALENARIZADA 2013'!C16</f>
        <v>Prima vacacional y dominical</v>
      </c>
      <c r="C13" s="284">
        <f>'PRES. TOTAL CALENARIZADA 2013'!D16-K13</f>
        <v>519476.23999999993</v>
      </c>
      <c r="D13" s="352"/>
      <c r="E13" s="290">
        <f>ELECTROMECANICA!E16+ALIMENTARIAS!E16+'INOVACION AGRICOLA'!E16+'SERVICIOS ESCOLARES'!E16+'DESARROLLO ACADEMICO'!E16+VINCULACIÓN!E16+PLANEACION!E16+CALIDAD!E16+'ADMON REC'!E16</f>
        <v>249172.39000000004</v>
      </c>
      <c r="F13" s="291">
        <f>ELECTROMECANICA!F16+ALIMENTARIAS!F16+'INOVACION AGRICOLA'!F16+'SERVICIOS ESCOLARES'!F16+'DESARROLLO ACADEMICO'!F16+VINCULACIÓN!F16+PLANEACION!F16+CALIDAD!F16+'ADMON REC'!F16</f>
        <v>249172.39000000004</v>
      </c>
      <c r="G13" s="291">
        <f>ELECTROMECANICA!G16+ALIMENTARIAS!G16+'INOVACION AGRICOLA'!G16+'SERVICIOS ESCOLARES'!G16+'DESARROLLO ACADEMICO'!G16+VINCULACIÓN!G16+PLANEACION!G16+CALIDAD!G16+'ADMON REC'!G16</f>
        <v>0</v>
      </c>
      <c r="H13" s="291">
        <f>ELECTROMECANICA!H16+ALIMENTARIAS!H16+'INOVACION AGRICOLA'!H16+'SERVICIOS ESCOLARES'!H16+'DESARROLLO ACADEMICO'!H16+VINCULACIÓN!H16+PLANEACION!H16+CALIDAD!H16+'ADMON REC'!H16</f>
        <v>21131.46</v>
      </c>
      <c r="I13" s="284">
        <f>ALIMENTARIAS!I16</f>
        <v>0</v>
      </c>
      <c r="J13" s="365"/>
      <c r="K13" s="374">
        <v>0</v>
      </c>
      <c r="L13" s="368"/>
      <c r="M13" s="369"/>
      <c r="N13" s="368"/>
      <c r="O13" s="350"/>
    </row>
    <row r="14" spans="1:15" x14ac:dyDescent="0.2">
      <c r="A14" s="282">
        <f>'PRES. TOTAL CALENARIZADA 2013'!A17</f>
        <v>1322</v>
      </c>
      <c r="B14" s="283" t="str">
        <f>'PRES. TOTAL CALENARIZADA 2013'!C17</f>
        <v>Aguinaldo</v>
      </c>
      <c r="C14" s="284">
        <f>'PRES. TOTAL CALENARIZADA 2013'!D17-K14</f>
        <v>1209840.4100000001</v>
      </c>
      <c r="D14" s="352"/>
      <c r="E14" s="290">
        <f>ELECTROMECANICA!E17+ALIMENTARIAS!E17+'INOVACION AGRICOLA'!E17+'SERVICIOS ESCOLARES'!E17+'DESARROLLO ACADEMICO'!E17+VINCULACIÓN!E17+PLANEACION!E17+CALIDAD!E17+'ADMON REC'!E17</f>
        <v>627333.98</v>
      </c>
      <c r="F14" s="291">
        <f>ELECTROMECANICA!F17+ALIMENTARIAS!F17+'INOVACION AGRICOLA'!F17+'SERVICIOS ESCOLARES'!F17+'DESARROLLO ACADEMICO'!F17+VINCULACIÓN!F17+PLANEACION!F17+CALIDAD!F17+'ADMON REC'!F17</f>
        <v>415287.32000000007</v>
      </c>
      <c r="G14" s="291">
        <f>ELECTROMECANICA!G17+ALIMENTARIAS!G17+'INOVACION AGRICOLA'!G17+'SERVICIOS ESCOLARES'!G17+'DESARROLLO ACADEMICO'!G17+VINCULACIÓN!G17+PLANEACION!G17+CALIDAD!G17+'ADMON REC'!G17</f>
        <v>49000</v>
      </c>
      <c r="H14" s="291">
        <f>ELECTROMECANICA!H17+ALIMENTARIAS!H17+'INOVACION AGRICOLA'!H17+'SERVICIOS ESCOLARES'!H17+'DESARROLLO ACADEMICO'!H17+VINCULACIÓN!H17+PLANEACION!H17+CALIDAD!H17+'ADMON REC'!H17</f>
        <v>118219.11</v>
      </c>
      <c r="I14" s="284">
        <f>ALIMENTARIAS!I17</f>
        <v>0</v>
      </c>
      <c r="J14" s="365"/>
      <c r="K14" s="374">
        <v>0</v>
      </c>
      <c r="L14" s="368"/>
      <c r="M14" s="369"/>
      <c r="N14" s="368"/>
      <c r="O14" s="350"/>
    </row>
    <row r="15" spans="1:15" x14ac:dyDescent="0.2">
      <c r="A15" s="282">
        <f>'PRES. TOTAL CALENARIZADA 2013'!A18</f>
        <v>1343</v>
      </c>
      <c r="B15" s="283" t="str">
        <f>'PRES. TOTAL CALENARIZADA 2013'!C18</f>
        <v>Compensaciones para material didáctico</v>
      </c>
      <c r="C15" s="284">
        <f>'PRES. TOTAL CALENARIZADA 2013'!D18-K15</f>
        <v>95779.78</v>
      </c>
      <c r="D15" s="352"/>
      <c r="E15" s="290">
        <f>ELECTROMECANICA!E18+ALIMENTARIAS!E18+'INOVACION AGRICOLA'!E18+'SERVICIOS ESCOLARES'!E18+'DESARROLLO ACADEMICO'!E18+VINCULACIÓN!E18+PLANEACION!E18+CALIDAD!E18+'ADMON REC'!E18</f>
        <v>40734.720000000001</v>
      </c>
      <c r="F15" s="291">
        <f>ELECTROMECANICA!F18+ALIMENTARIAS!F18+'INOVACION AGRICOLA'!F18+'SERVICIOS ESCOLARES'!F18+'DESARROLLO ACADEMICO'!F18+VINCULACIÓN!F18+PLANEACION!F18+CALIDAD!F18+'ADMON REC'!F18</f>
        <v>40734.720000000001</v>
      </c>
      <c r="G15" s="291">
        <f>ELECTROMECANICA!G18+ALIMENTARIAS!G18+'INOVACION AGRICOLA'!G18+'SERVICIOS ESCOLARES'!G18+'DESARROLLO ACADEMICO'!G18+VINCULACIÓN!G18+PLANEACION!G18+CALIDAD!G18+'ADMON REC'!G18</f>
        <v>0</v>
      </c>
      <c r="H15" s="291">
        <f>ELECTROMECANICA!H18+ALIMENTARIAS!H18+'INOVACION AGRICOLA'!H18+'SERVICIOS ESCOLARES'!H18+'DESARROLLO ACADEMICO'!H18+VINCULACIÓN!H18+PLANEACION!H18+CALIDAD!H18+'ADMON REC'!H18</f>
        <v>14310.34</v>
      </c>
      <c r="I15" s="284">
        <f>ALIMENTARIAS!I18</f>
        <v>0</v>
      </c>
      <c r="J15" s="365"/>
      <c r="K15" s="374">
        <v>0</v>
      </c>
      <c r="L15" s="368"/>
      <c r="M15" s="369"/>
      <c r="N15" s="368"/>
      <c r="O15" s="350"/>
    </row>
    <row r="16" spans="1:15" ht="14.25" customHeight="1" x14ac:dyDescent="0.2">
      <c r="A16" s="282">
        <f>'PRES. TOTAL CALENARIZADA 2013'!A19</f>
        <v>1411</v>
      </c>
      <c r="B16" s="283" t="str">
        <f>'PRES. TOTAL CALENARIZADA 2013'!C19</f>
        <v>Cuotas al IMSS por enfermedades y maternidad</v>
      </c>
      <c r="C16" s="284">
        <f>'PRES. TOTAL CALENARIZADA 2013'!D19-K16</f>
        <v>737400.64999999991</v>
      </c>
      <c r="D16" s="352"/>
      <c r="E16" s="290">
        <f>ELECTROMECANICA!E19+ALIMENTARIAS!E19+'INOVACION AGRICOLA'!E19+'SERVICIOS ESCOLARES'!E19+'DESARROLLO ACADEMICO'!E19+VINCULACIÓN!E19+PLANEACION!E19+CALIDAD!E19+'ADMON REC'!E19</f>
        <v>322592.28000000003</v>
      </c>
      <c r="F16" s="291">
        <f>ELECTROMECANICA!F19+ALIMENTARIAS!F19+'INOVACION AGRICOLA'!F19+'SERVICIOS ESCOLARES'!F19+'DESARROLLO ACADEMICO'!F19+VINCULACIÓN!F19+PLANEACION!F19+CALIDAD!F19+'ADMON REC'!F19</f>
        <v>322592.28000000003</v>
      </c>
      <c r="G16" s="291">
        <f>ELECTROMECANICA!G19+ALIMENTARIAS!G19+'INOVACION AGRICOLA'!G19+'SERVICIOS ESCOLARES'!G19+'DESARROLLO ACADEMICO'!G19+VINCULACIÓN!G19+PLANEACION!G19+CALIDAD!G19+'ADMON REC'!G19</f>
        <v>0</v>
      </c>
      <c r="H16" s="291">
        <f>ELECTROMECANICA!H19+ALIMENTARIAS!H19+'INOVACION AGRICOLA'!H19+'SERVICIOS ESCOLARES'!H19+'DESARROLLO ACADEMICO'!H19+VINCULACIÓN!H19+PLANEACION!H19+CALIDAD!H19+'ADMON REC'!H19</f>
        <v>92216.09</v>
      </c>
      <c r="I16" s="284">
        <f>ALIMENTARIAS!I19</f>
        <v>0</v>
      </c>
      <c r="J16" s="365"/>
      <c r="K16" s="374">
        <v>0</v>
      </c>
      <c r="L16" s="368"/>
      <c r="M16" s="369"/>
      <c r="N16" s="368"/>
      <c r="O16" s="350"/>
    </row>
    <row r="17" spans="1:15" x14ac:dyDescent="0.2">
      <c r="A17" s="282">
        <f>'PRES. TOTAL CALENARIZADA 2013'!A20</f>
        <v>1421</v>
      </c>
      <c r="B17" s="283" t="str">
        <f>'PRES. TOTAL CALENARIZADA 2013'!C20</f>
        <v>Cuotas para la vivienda</v>
      </c>
      <c r="C17" s="284">
        <f>'PRES. TOTAL CALENARIZADA 2013'!D20-K17</f>
        <v>226181.69000000003</v>
      </c>
      <c r="D17" s="352"/>
      <c r="E17" s="290">
        <f>ELECTROMECANICA!E20+ALIMENTARIAS!E20+'INOVACION AGRICOLA'!E20+'SERVICIOS ESCOLARES'!E20+'DESARROLLO ACADEMICO'!E20+VINCULACIÓN!E20+PLANEACION!E20+CALIDAD!E20+'ADMON REC'!E20</f>
        <v>112127.58</v>
      </c>
      <c r="F17" s="291">
        <f>ELECTROMECANICA!F20+ALIMENTARIAS!F20+'INOVACION AGRICOLA'!F20+'SERVICIOS ESCOLARES'!F20+'DESARROLLO ACADEMICO'!F20+VINCULACIÓN!F20+PLANEACION!F20+CALIDAD!F20+'ADMON REC'!F20</f>
        <v>112127.58</v>
      </c>
      <c r="G17" s="291">
        <f>ELECTROMECANICA!G20+ALIMENTARIAS!G20+'INOVACION AGRICOLA'!G20+'SERVICIOS ESCOLARES'!G20+'DESARROLLO ACADEMICO'!G20+VINCULACIÓN!G20+PLANEACION!G20+CALIDAD!G20+'ADMON REC'!G20</f>
        <v>0</v>
      </c>
      <c r="H17" s="291">
        <f>ELECTROMECANICA!H20+ALIMENTARIAS!H20+'INOVACION AGRICOLA'!H20+'SERVICIOS ESCOLARES'!H20+'DESARROLLO ACADEMICO'!H20+VINCULACIÓN!H20+PLANEACION!H20+CALIDAD!H20+'ADMON REC'!H20</f>
        <v>1926.5299999999997</v>
      </c>
      <c r="I17" s="284">
        <f>ALIMENTARIAS!I20</f>
        <v>0</v>
      </c>
      <c r="J17" s="365"/>
      <c r="K17" s="374">
        <v>0</v>
      </c>
      <c r="L17" s="368"/>
      <c r="M17" s="369"/>
      <c r="N17" s="368"/>
      <c r="O17" s="350"/>
    </row>
    <row r="18" spans="1:15" x14ac:dyDescent="0.2">
      <c r="A18" s="282">
        <f>'PRES. TOTAL CALENARIZADA 2013'!A21</f>
        <v>1431</v>
      </c>
      <c r="B18" s="283" t="str">
        <f>'PRES. TOTAL CALENARIZADA 2013'!C21</f>
        <v>Cuotas a pensiones</v>
      </c>
      <c r="C18" s="284">
        <f>'PRES. TOTAL CALENARIZADA 2013'!D21-K18</f>
        <v>791635.12999999989</v>
      </c>
      <c r="D18" s="352"/>
      <c r="E18" s="290">
        <f>ELECTROMECANICA!E21+ALIMENTARIAS!E21+'INOVACION AGRICOLA'!E21+'SERVICIOS ESCOLARES'!E21+'DESARROLLO ACADEMICO'!E21+VINCULACIÓN!E21+PLANEACION!E21+CALIDAD!E21+'ADMON REC'!E21</f>
        <v>392446.52</v>
      </c>
      <c r="F18" s="291">
        <f>ELECTROMECANICA!F21+ALIMENTARIAS!F21+'INOVACION AGRICOLA'!F21+'SERVICIOS ESCOLARES'!F21+'DESARROLLO ACADEMICO'!F21+VINCULACIÓN!F21+PLANEACION!F21+CALIDAD!F21+'ADMON REC'!F21</f>
        <v>392446.52</v>
      </c>
      <c r="G18" s="291">
        <f>ELECTROMECANICA!G21+ALIMENTARIAS!G21+'INOVACION AGRICOLA'!G21+'SERVICIOS ESCOLARES'!G21+'DESARROLLO ACADEMICO'!G21+VINCULACIÓN!G21+PLANEACION!G21+CALIDAD!G21+'ADMON REC'!G21</f>
        <v>0</v>
      </c>
      <c r="H18" s="291">
        <f>ELECTROMECANICA!H21+ALIMENTARIAS!H21+'INOVACION AGRICOLA'!H21+'SERVICIOS ESCOLARES'!H21+'DESARROLLO ACADEMICO'!H21+VINCULACIÓN!H21+PLANEACION!H21+CALIDAD!H21+'ADMON REC'!H21</f>
        <v>6742.09</v>
      </c>
      <c r="I18" s="284">
        <f>ALIMENTARIAS!I21</f>
        <v>0</v>
      </c>
      <c r="J18" s="365"/>
      <c r="K18" s="374">
        <v>0</v>
      </c>
      <c r="L18" s="368"/>
      <c r="M18" s="369"/>
      <c r="N18" s="368"/>
      <c r="O18" s="350"/>
    </row>
    <row r="19" spans="1:15" ht="22.5" x14ac:dyDescent="0.2">
      <c r="A19" s="282">
        <f>'PRES. TOTAL CALENARIZADA 2013'!A22</f>
        <v>1432</v>
      </c>
      <c r="B19" s="283" t="str">
        <f>'PRES. TOTAL CALENARIZADA 2013'!C22</f>
        <v>Cuotas para el sistema de ahorro para el retiro SAR</v>
      </c>
      <c r="C19" s="284">
        <f>'PRES. TOTAL CALENARIZADA 2013'!D22-K19</f>
        <v>150787.89000000001</v>
      </c>
      <c r="D19" s="352"/>
      <c r="E19" s="290">
        <f>ELECTROMECANICA!E22+ALIMENTARIAS!E22+'INOVACION AGRICOLA'!E22+'SERVICIOS ESCOLARES'!E22+'DESARROLLO ACADEMICO'!E22+VINCULACIÓN!E22+PLANEACION!E22+CALIDAD!E22+'ADMON REC'!E22</f>
        <v>74751.72</v>
      </c>
      <c r="F19" s="291">
        <f>ELECTROMECANICA!F22+ALIMENTARIAS!F22+'INOVACION AGRICOLA'!F22+'SERVICIOS ESCOLARES'!F22+'DESARROLLO ACADEMICO'!F22+VINCULACIÓN!F22+PLANEACION!F22+CALIDAD!F22+'ADMON REC'!F22</f>
        <v>74751.72</v>
      </c>
      <c r="G19" s="291">
        <f>ELECTROMECANICA!G22+ALIMENTARIAS!G22+'INOVACION AGRICOLA'!G22+'SERVICIOS ESCOLARES'!G22+'DESARROLLO ACADEMICO'!G22+VINCULACIÓN!G22+PLANEACION!G22+CALIDAD!G22+'ADMON REC'!G22</f>
        <v>0</v>
      </c>
      <c r="H19" s="291">
        <f>ELECTROMECANICA!H22+ALIMENTARIAS!H22+'INOVACION AGRICOLA'!H22+'SERVICIOS ESCOLARES'!H22+'DESARROLLO ACADEMICO'!H22+VINCULACIÓN!H22+PLANEACION!H22+CALIDAD!H22+'ADMON REC'!H22</f>
        <v>1284.4499999999998</v>
      </c>
      <c r="I19" s="284">
        <f>ALIMENTARIAS!I22</f>
        <v>0</v>
      </c>
      <c r="J19" s="365"/>
      <c r="K19" s="374">
        <v>0</v>
      </c>
      <c r="L19" s="368"/>
      <c r="M19" s="369"/>
      <c r="N19" s="368"/>
      <c r="O19" s="350"/>
    </row>
    <row r="20" spans="1:15" x14ac:dyDescent="0.2">
      <c r="A20" s="282">
        <f>'PRES. TOTAL CALENARIZADA 2013'!A23</f>
        <v>1543</v>
      </c>
      <c r="B20" s="283" t="str">
        <f>'PRES. TOTAL CALENARIZADA 2013'!C23</f>
        <v>Estímulos para el personal</v>
      </c>
      <c r="C20" s="284">
        <f>'PRES. TOTAL CALENARIZADA 2013'!D23-K20</f>
        <v>375842.1</v>
      </c>
      <c r="D20" s="352"/>
      <c r="E20" s="290">
        <f>ELECTROMECANICA!E23+ALIMENTARIAS!E23+'INOVACION AGRICOLA'!E23+'SERVICIOS ESCOLARES'!E23+'DESARROLLO ACADEMICO'!E23+VINCULACIÓN!E23+PLANEACION!E23+CALIDAD!E23+'ADMON REC'!E23</f>
        <v>151458</v>
      </c>
      <c r="F20" s="291">
        <f>ELECTROMECANICA!F23+ALIMENTARIAS!F23+'INOVACION AGRICOLA'!F23+'SERVICIOS ESCOLARES'!F23+'DESARROLLO ACADEMICO'!F23+VINCULACIÓN!F23+PLANEACION!F23+CALIDAD!F23+'ADMON REC'!F23</f>
        <v>151458</v>
      </c>
      <c r="G20" s="291">
        <f>ELECTROMECANICA!G23+ALIMENTARIAS!G23+'INOVACION AGRICOLA'!G23+'SERVICIOS ESCOLARES'!G23+'DESARROLLO ACADEMICO'!G23+VINCULACIÓN!G23+PLANEACION!G23+CALIDAD!G23+'ADMON REC'!G23</f>
        <v>0</v>
      </c>
      <c r="H20" s="291">
        <f>ELECTROMECANICA!H23+ALIMENTARIAS!H23+'INOVACION AGRICOLA'!H23+'SERVICIOS ESCOLARES'!H23+'DESARROLLO ACADEMICO'!H23+VINCULACIÓN!H23+PLANEACION!H23+CALIDAD!H23+'ADMON REC'!H23</f>
        <v>72926.100000000006</v>
      </c>
      <c r="I20" s="284">
        <f>ALIMENTARIAS!I23</f>
        <v>0</v>
      </c>
      <c r="J20" s="365"/>
      <c r="K20" s="374">
        <v>0</v>
      </c>
      <c r="L20" s="368"/>
      <c r="M20" s="369"/>
      <c r="N20" s="368"/>
      <c r="O20" s="350"/>
    </row>
    <row r="21" spans="1:15" x14ac:dyDescent="0.2">
      <c r="A21" s="282">
        <f>'PRES. TOTAL CALENARIZADA 2013'!A24</f>
        <v>1611</v>
      </c>
      <c r="B21" s="283" t="str">
        <f>'PRES. TOTAL CALENARIZADA 2013'!C24</f>
        <v>Impacto al salario</v>
      </c>
      <c r="C21" s="284">
        <f>'PRES. TOTAL CALENARIZADA 2013'!D24-K21</f>
        <v>0</v>
      </c>
      <c r="D21" s="352"/>
      <c r="E21" s="290">
        <f>ELECTROMECANICA!E24+ALIMENTARIAS!E24+'INOVACION AGRICOLA'!E24+'SERVICIOS ESCOLARES'!E24+'DESARROLLO ACADEMICO'!E24+VINCULACIÓN!E24+PLANEACION!E24+CALIDAD!E24+'ADMON REC'!E24</f>
        <v>0</v>
      </c>
      <c r="F21" s="291">
        <f>ELECTROMECANICA!F24+ALIMENTARIAS!F24+'INOVACION AGRICOLA'!F24+'SERVICIOS ESCOLARES'!F24+'DESARROLLO ACADEMICO'!F24+VINCULACIÓN!F24+PLANEACION!F24+CALIDAD!F24+'ADMON REC'!F24</f>
        <v>0</v>
      </c>
      <c r="G21" s="291">
        <f>ELECTROMECANICA!G24+ALIMENTARIAS!G24+'INOVACION AGRICOLA'!G24+'SERVICIOS ESCOLARES'!G24+'DESARROLLO ACADEMICO'!G24+VINCULACIÓN!G24+PLANEACION!G24+CALIDAD!G24+'ADMON REC'!G24</f>
        <v>0</v>
      </c>
      <c r="H21" s="291">
        <f>ELECTROMECANICA!H24+ALIMENTARIAS!H24+'INOVACION AGRICOLA'!H24+'SERVICIOS ESCOLARES'!H24+'DESARROLLO ACADEMICO'!H24+VINCULACIÓN!H24+PLANEACION!H24+CALIDAD!H24+'ADMON REC'!H24</f>
        <v>0</v>
      </c>
      <c r="I21" s="284">
        <f>ALIMENTARIAS!I24</f>
        <v>0</v>
      </c>
      <c r="J21" s="365"/>
      <c r="K21" s="374">
        <v>0</v>
      </c>
      <c r="L21" s="368"/>
      <c r="M21" s="369"/>
      <c r="N21" s="368"/>
      <c r="O21" s="350"/>
    </row>
    <row r="22" spans="1:15" x14ac:dyDescent="0.2">
      <c r="A22" s="282">
        <f>'PRES. TOTAL CALENARIZADA 2013'!A25</f>
        <v>1715</v>
      </c>
      <c r="B22" s="283" t="str">
        <f>'PRES. TOTAL CALENARIZADA 2013'!C25</f>
        <v>Estímulo por el día del servidor público</v>
      </c>
      <c r="C22" s="284">
        <f>'PRES. TOTAL CALENARIZADA 2013'!D25-K22</f>
        <v>193931.22</v>
      </c>
      <c r="D22" s="352"/>
      <c r="E22" s="290">
        <f>ELECTROMECANICA!E25+ALIMENTARIAS!E25+'INOVACION AGRICOLA'!E25+'SERVICIOS ESCOLARES'!E25+'DESARROLLO ACADEMICO'!E25+VINCULACIÓN!E25+PLANEACION!E25+CALIDAD!E25+'ADMON REC'!E25</f>
        <v>193931.22</v>
      </c>
      <c r="F22" s="291">
        <f>ELECTROMECANICA!F25+ALIMENTARIAS!F25+'INOVACION AGRICOLA'!F25+'SERVICIOS ESCOLARES'!F25+'DESARROLLO ACADEMICO'!F25+VINCULACIÓN!F25+PLANEACION!F25+CALIDAD!F25+'ADMON REC'!F25</f>
        <v>0</v>
      </c>
      <c r="G22" s="291">
        <f>ELECTROMECANICA!G25+ALIMENTARIAS!G25+'INOVACION AGRICOLA'!G25+'SERVICIOS ESCOLARES'!G25+'DESARROLLO ACADEMICO'!G25+VINCULACIÓN!G25+PLANEACION!G25+CALIDAD!G25+'ADMON REC'!G25</f>
        <v>0</v>
      </c>
      <c r="H22" s="291">
        <f>ELECTROMECANICA!H25+ALIMENTARIAS!H25+'INOVACION AGRICOLA'!H25+'SERVICIOS ESCOLARES'!H25+'DESARROLLO ACADEMICO'!H25+VINCULACIÓN!H25+PLANEACION!H25+CALIDAD!H25+'ADMON REC'!H25</f>
        <v>0</v>
      </c>
      <c r="I22" s="284">
        <f>ALIMENTARIAS!I25</f>
        <v>0</v>
      </c>
      <c r="J22" s="365"/>
      <c r="K22" s="374">
        <v>0</v>
      </c>
      <c r="L22" s="368"/>
      <c r="M22" s="369"/>
      <c r="N22" s="368"/>
      <c r="O22" s="350"/>
    </row>
    <row r="23" spans="1:15" x14ac:dyDescent="0.2">
      <c r="A23" s="282">
        <f>'PRES. TOTAL CALENARIZADA 2013'!A26</f>
        <v>1719</v>
      </c>
      <c r="B23" s="283" t="str">
        <f>'PRES. TOTAL CALENARIZADA 2013'!C26</f>
        <v>Otros Estímulos</v>
      </c>
      <c r="C23" s="284">
        <f>'PRES. TOTAL CALENARIZADA 2013'!D26-K23</f>
        <v>793934.4</v>
      </c>
      <c r="D23" s="352"/>
      <c r="E23" s="290">
        <f>ELECTROMECANICA!E26+ALIMENTARIAS!E26+'INOVACION AGRICOLA'!E26+'SERVICIOS ESCOLARES'!E26+'DESARROLLO ACADEMICO'!E26+VINCULACIÓN!E26+PLANEACION!E26+CALIDAD!E26+'ADMON REC'!E26</f>
        <v>404983.2</v>
      </c>
      <c r="F23" s="291">
        <f>ELECTROMECANICA!F26+ALIMENTARIAS!F26+'INOVACION AGRICOLA'!F26+'SERVICIOS ESCOLARES'!F26+'DESARROLLO ACADEMICO'!F26+VINCULACIÓN!F26+PLANEACION!F26+CALIDAD!F26+'ADMON REC'!F26</f>
        <v>388951.2</v>
      </c>
      <c r="G23" s="291">
        <f>ELECTROMECANICA!G26+ALIMENTARIAS!G26+'INOVACION AGRICOLA'!G26+'SERVICIOS ESCOLARES'!G26+'DESARROLLO ACADEMICO'!G26+VINCULACIÓN!G26+PLANEACION!G26+CALIDAD!G26+'ADMON REC'!G26</f>
        <v>0</v>
      </c>
      <c r="H23" s="291">
        <f>ELECTROMECANICA!H26+ALIMENTARIAS!H26+'INOVACION AGRICOLA'!H26+'SERVICIOS ESCOLARES'!H26+'DESARROLLO ACADEMICO'!H26+VINCULACIÓN!H26+PLANEACION!H26+CALIDAD!H26+'ADMON REC'!H26</f>
        <v>0</v>
      </c>
      <c r="I23" s="284">
        <f>ALIMENTARIAS!I26</f>
        <v>0</v>
      </c>
      <c r="J23" s="365"/>
      <c r="K23" s="374">
        <v>0</v>
      </c>
      <c r="L23" s="368"/>
      <c r="M23" s="369"/>
      <c r="N23" s="368"/>
      <c r="O23" s="350"/>
    </row>
    <row r="24" spans="1:15" ht="13.5" thickBot="1" x14ac:dyDescent="0.25">
      <c r="A24" s="285">
        <f>'PRES. TOTAL CALENARIZADA 2013'!A27</f>
        <v>1712</v>
      </c>
      <c r="B24" s="286" t="str">
        <f>'PRES. TOTAL CALENARIZADA 2013'!C27</f>
        <v>Ayuda para despensa</v>
      </c>
      <c r="C24" s="287">
        <f>'PRES. TOTAL CALENARIZADA 2013'!D27-K24</f>
        <v>527849.28000000014</v>
      </c>
      <c r="D24" s="352"/>
      <c r="E24" s="292">
        <f>ELECTROMECANICA!E27+ALIMENTARIAS!E27+'INOVACION AGRICOLA'!E27+'SERVICIOS ESCOLARES'!E27+'DESARROLLO ACADEMICO'!E27+VINCULACIÓN!E27+PLANEACION!E27+CALIDAD!E27+'ADMON REC'!E27</f>
        <v>270582.53000000003</v>
      </c>
      <c r="F24" s="293">
        <f>ELECTROMECANICA!F27+ALIMENTARIAS!F27+'INOVACION AGRICOLA'!F27+'SERVICIOS ESCOLARES'!F27+'DESARROLLO ACADEMICO'!F27+VINCULACIÓN!F27+PLANEACION!F27+CALIDAD!F27+'ADMON REC'!F27</f>
        <v>248022.53</v>
      </c>
      <c r="G24" s="293">
        <f>ELECTROMECANICA!G27+ALIMENTARIAS!G27+'INOVACION AGRICOLA'!G27+'SERVICIOS ESCOLARES'!G27+'DESARROLLO ACADEMICO'!G27+VINCULACIÓN!G27+PLANEACION!G27+CALIDAD!G27+'ADMON REC'!G27</f>
        <v>0</v>
      </c>
      <c r="H24" s="293">
        <f>ELECTROMECANICA!H27+ALIMENTARIAS!H27+'INOVACION AGRICOLA'!H27+'SERVICIOS ESCOLARES'!H27+'DESARROLLO ACADEMICO'!H27+VINCULACIÓN!H27+PLANEACION!H27+CALIDAD!H27+'ADMON REC'!H27</f>
        <v>9244.2199999999993</v>
      </c>
      <c r="I24" s="287">
        <f>ALIMENTARIAS!I27</f>
        <v>0</v>
      </c>
      <c r="J24" s="365"/>
      <c r="K24" s="375">
        <v>0</v>
      </c>
      <c r="L24" s="368"/>
      <c r="M24" s="369"/>
      <c r="N24" s="368"/>
      <c r="O24" s="350"/>
    </row>
    <row r="25" spans="1:15" s="274" customFormat="1" ht="20.25" customHeight="1" thickBot="1" x14ac:dyDescent="0.25">
      <c r="A25" s="273"/>
      <c r="B25" s="299" t="s">
        <v>241</v>
      </c>
      <c r="C25" s="300">
        <f>SUM(C10:C24)</f>
        <v>14527911.48</v>
      </c>
      <c r="D25" s="381"/>
      <c r="E25" s="300">
        <f t="shared" ref="E25:I25" si="0">SUM(E10:E24)</f>
        <v>7027311.4100000001</v>
      </c>
      <c r="F25" s="300">
        <f t="shared" si="0"/>
        <v>6582741.5300000003</v>
      </c>
      <c r="G25" s="300">
        <f t="shared" si="0"/>
        <v>49000</v>
      </c>
      <c r="H25" s="300">
        <f t="shared" si="0"/>
        <v>868858.5399999998</v>
      </c>
      <c r="I25" s="300">
        <f t="shared" si="0"/>
        <v>0</v>
      </c>
      <c r="J25" s="300"/>
      <c r="K25" s="300"/>
      <c r="L25" s="323"/>
      <c r="M25" s="370"/>
      <c r="N25" s="323"/>
      <c r="O25" s="371"/>
    </row>
    <row r="26" spans="1:15" ht="22.5" x14ac:dyDescent="0.2">
      <c r="A26" s="294">
        <f>'PRES. TOTAL CALENARIZADA 2013'!A29</f>
        <v>2111</v>
      </c>
      <c r="B26" s="295" t="str">
        <f>'PRES. TOTAL CALENARIZADA 2013'!C29</f>
        <v>Materiales útiles y equipos menores de oficina</v>
      </c>
      <c r="C26" s="296">
        <f>'PRES. TOTAL CALENARIZADA 2013'!D29-K26</f>
        <v>80000</v>
      </c>
      <c r="D26" s="352"/>
      <c r="E26" s="297">
        <f>ELECTROMECANICA!E29+ALIMENTARIAS!E29+'INOVACION AGRICOLA'!E29+'SERVICIOS ESCOLARES'!E29+'DESARROLLO ACADEMICO'!E29+VINCULACIÓN!E29+PLANEACION!E29+CALIDAD!E29+'ADMON REC'!E29</f>
        <v>40000</v>
      </c>
      <c r="F26" s="298">
        <f>ELECTROMECANICA!F29+ALIMENTARIAS!F29+'INOVACION AGRICOLA'!F29+'SERVICIOS ESCOLARES'!F29+'DESARROLLO ACADEMICO'!F29+VINCULACIÓN!F29+PLANEACION!F29+CALIDAD!F29+'ADMON REC'!F29</f>
        <v>40000</v>
      </c>
      <c r="G26" s="298">
        <f>ELECTROMECANICA!G29+ALIMENTARIAS!G29+'INOVACION AGRICOLA'!G29+'SERVICIOS ESCOLARES'!G29+'DESARROLLO ACADEMICO'!G29+VINCULACIÓN!G29+PLANEACION!G29+CALIDAD!G29+'ADMON REC'!G29</f>
        <v>0</v>
      </c>
      <c r="H26" s="298">
        <f>ELECTROMECANICA!H29+ALIMENTARIAS!H29+'INOVACION AGRICOLA'!H29+'SERVICIOS ESCOLARES'!H29+'DESARROLLO ACADEMICO'!H29+VINCULACIÓN!H29+PLANEACION!H29+CALIDAD!H29+'ADMON REC'!H29</f>
        <v>20000</v>
      </c>
      <c r="I26" s="296">
        <f>ALIMENTARIAS!I29</f>
        <v>0</v>
      </c>
      <c r="J26" s="365"/>
      <c r="K26" s="373">
        <v>20000</v>
      </c>
      <c r="L26" s="368"/>
      <c r="M26" s="369"/>
      <c r="N26" s="368"/>
      <c r="O26" s="350"/>
    </row>
    <row r="27" spans="1:15" ht="22.5" x14ac:dyDescent="0.2">
      <c r="A27" s="282">
        <f>'PRES. TOTAL CALENARIZADA 2013'!A30</f>
        <v>2121</v>
      </c>
      <c r="B27" s="283" t="str">
        <f>'PRES. TOTAL CALENARIZADA 2013'!C30</f>
        <v>Materiales y ùtiles de impresion y reproducción</v>
      </c>
      <c r="C27" s="284">
        <f>'PRES. TOTAL CALENARIZADA 2013'!D30-K27</f>
        <v>9000</v>
      </c>
      <c r="D27" s="352"/>
      <c r="E27" s="290">
        <f>ELECTROMECANICA!E30+ALIMENTARIAS!E30+'INOVACION AGRICOLA'!E30+'SERVICIOS ESCOLARES'!E30+'DESARROLLO ACADEMICO'!E30+VINCULACIÓN!E30+PLANEACION!E30+CALIDAD!E30+'ADMON REC'!E30</f>
        <v>4500</v>
      </c>
      <c r="F27" s="291">
        <f>ELECTROMECANICA!F30+ALIMENTARIAS!F30+'INOVACION AGRICOLA'!F30+'SERVICIOS ESCOLARES'!F30+'DESARROLLO ACADEMICO'!F30+VINCULACIÓN!F30+PLANEACION!F30+CALIDAD!F30+'ADMON REC'!F30</f>
        <v>4500</v>
      </c>
      <c r="G27" s="291">
        <f>ELECTROMECANICA!G30+ALIMENTARIAS!G30+'INOVACION AGRICOLA'!G30+'SERVICIOS ESCOLARES'!G30+'DESARROLLO ACADEMICO'!G30+VINCULACIÓN!G30+PLANEACION!G30+CALIDAD!G30+'ADMON REC'!G30</f>
        <v>0</v>
      </c>
      <c r="H27" s="291">
        <f>ELECTROMECANICA!H30+ALIMENTARIAS!H30+'INOVACION AGRICOLA'!H30+'SERVICIOS ESCOLARES'!H30+'DESARROLLO ACADEMICO'!H30+VINCULACIÓN!H30+PLANEACION!H30+CALIDAD!H30+'ADMON REC'!H30</f>
        <v>0</v>
      </c>
      <c r="I27" s="284">
        <f>ALIMENTARIAS!I30</f>
        <v>0</v>
      </c>
      <c r="J27" s="365"/>
      <c r="K27" s="374"/>
      <c r="L27" s="368"/>
      <c r="M27" s="369"/>
      <c r="N27" s="368"/>
      <c r="O27" s="350"/>
    </row>
    <row r="28" spans="1:15" ht="33.75" x14ac:dyDescent="0.2">
      <c r="A28" s="282">
        <f>'PRES. TOTAL CALENARIZADA 2013'!A31</f>
        <v>2141</v>
      </c>
      <c r="B28" s="283" t="str">
        <f>'PRES. TOTAL CALENARIZADA 2013'!C31</f>
        <v>Materiales, útiles y equipos menores de tecnologías de la información y
comunicación</v>
      </c>
      <c r="C28" s="284">
        <f>'PRES. TOTAL CALENARIZADA 2013'!D31-K28</f>
        <v>86000</v>
      </c>
      <c r="D28" s="352"/>
      <c r="E28" s="290">
        <f>ELECTROMECANICA!E31+ALIMENTARIAS!E31+'INOVACION AGRICOLA'!E31+'SERVICIOS ESCOLARES'!E31+'DESARROLLO ACADEMICO'!E31+VINCULACIÓN!E31+PLANEACION!E31+CALIDAD!E31+'ADMON REC'!E31</f>
        <v>43000</v>
      </c>
      <c r="F28" s="291">
        <f>ELECTROMECANICA!F31+ALIMENTARIAS!F31+'INOVACION AGRICOLA'!F31+'SERVICIOS ESCOLARES'!F31+'DESARROLLO ACADEMICO'!F31+VINCULACIÓN!F31+PLANEACION!F31+CALIDAD!F31+'ADMON REC'!F31</f>
        <v>43000</v>
      </c>
      <c r="G28" s="291">
        <f>ELECTROMECANICA!G31+ALIMENTARIAS!G31+'INOVACION AGRICOLA'!G31+'SERVICIOS ESCOLARES'!G31+'DESARROLLO ACADEMICO'!G31+VINCULACIÓN!G31+PLANEACION!G31+CALIDAD!G31+'ADMON REC'!G31</f>
        <v>0</v>
      </c>
      <c r="H28" s="291">
        <f>ELECTROMECANICA!H31+ALIMENTARIAS!H31+'INOVACION AGRICOLA'!H31+'SERVICIOS ESCOLARES'!H31+'DESARROLLO ACADEMICO'!H31+VINCULACIÓN!H31+PLANEACION!H31+CALIDAD!H31+'ADMON REC'!H31</f>
        <v>28000</v>
      </c>
      <c r="I28" s="284">
        <f>ALIMENTARIAS!I31</f>
        <v>0</v>
      </c>
      <c r="J28" s="365"/>
      <c r="K28" s="374">
        <v>28000</v>
      </c>
      <c r="L28" s="368"/>
      <c r="M28" s="369"/>
      <c r="N28" s="368"/>
      <c r="O28" s="350"/>
    </row>
    <row r="29" spans="1:15" x14ac:dyDescent="0.2">
      <c r="A29" s="282">
        <f>'PRES. TOTAL CALENARIZADA 2013'!A32</f>
        <v>2151</v>
      </c>
      <c r="B29" s="283" t="str">
        <f>'PRES. TOTAL CALENARIZADA 2013'!C32</f>
        <v>Material impreso e información digital</v>
      </c>
      <c r="C29" s="284">
        <f>'PRES. TOTAL CALENARIZADA 2013'!D32-K29</f>
        <v>249011.26</v>
      </c>
      <c r="D29" s="352"/>
      <c r="E29" s="290">
        <f>ELECTROMECANICA!E32+ALIMENTARIAS!E32+'INOVACION AGRICOLA'!E32+'SERVICIOS ESCOLARES'!E32+'DESARROLLO ACADEMICO'!E32+VINCULACIÓN!E32+PLANEACION!E32+CALIDAD!E32+'ADMON REC'!E32</f>
        <v>0</v>
      </c>
      <c r="F29" s="291">
        <f>ELECTROMECANICA!F32+ALIMENTARIAS!F32+'INOVACION AGRICOLA'!F32+'SERVICIOS ESCOLARES'!F32+'DESARROLLO ACADEMICO'!F32+VINCULACIÓN!F32+PLANEACION!F32+CALIDAD!F32+'ADMON REC'!F32</f>
        <v>0</v>
      </c>
      <c r="G29" s="291">
        <f>ELECTROMECANICA!G32+ALIMENTARIAS!G32+'INOVACION AGRICOLA'!G32+'SERVICIOS ESCOLARES'!G32+'DESARROLLO ACADEMICO'!G32+VINCULACIÓN!G32+PLANEACION!G32+CALIDAD!G32+'ADMON REC'!G32</f>
        <v>0</v>
      </c>
      <c r="H29" s="291">
        <f>ELECTROMECANICA!H32+ALIMENTARIAS!H32+'INOVACION AGRICOLA'!H32+'SERVICIOS ESCOLARES'!H32+'DESARROLLO ACADEMICO'!H32+VINCULACIÓN!H32+PLANEACION!H32+CALIDAD!H32+'ADMON REC'!H32</f>
        <v>409011.25999999995</v>
      </c>
      <c r="I29" s="284">
        <f>ALIMENTARIAS!I32</f>
        <v>0</v>
      </c>
      <c r="J29" s="365"/>
      <c r="K29" s="374">
        <v>160000</v>
      </c>
      <c r="L29" s="368"/>
      <c r="M29" s="369"/>
      <c r="N29" s="368"/>
      <c r="O29" s="350"/>
    </row>
    <row r="30" spans="1:15" x14ac:dyDescent="0.2">
      <c r="A30" s="282">
        <f>'PRES. TOTAL CALENARIZADA 2013'!A33</f>
        <v>2161</v>
      </c>
      <c r="B30" s="283" t="str">
        <f>'PRES. TOTAL CALENARIZADA 2013'!C33</f>
        <v>Material de limpieza</v>
      </c>
      <c r="C30" s="284">
        <f>'PRES. TOTAL CALENARIZADA 2013'!D33-K30</f>
        <v>60000</v>
      </c>
      <c r="D30" s="352"/>
      <c r="E30" s="290">
        <f>ELECTROMECANICA!E33+ALIMENTARIAS!E33+'INOVACION AGRICOLA'!E33+'SERVICIOS ESCOLARES'!E33+'DESARROLLO ACADEMICO'!E33+VINCULACIÓN!E33+PLANEACION!E33+CALIDAD!E33+'ADMON REC'!E33</f>
        <v>30000</v>
      </c>
      <c r="F30" s="291">
        <f>ELECTROMECANICA!F33+ALIMENTARIAS!F33+'INOVACION AGRICOLA'!F33+'SERVICIOS ESCOLARES'!F33+'DESARROLLO ACADEMICO'!F33+VINCULACIÓN!F33+PLANEACION!F33+CALIDAD!F33+'ADMON REC'!F33</f>
        <v>30000</v>
      </c>
      <c r="G30" s="291">
        <f>ELECTROMECANICA!G33+ALIMENTARIAS!G33+'INOVACION AGRICOLA'!G33+'SERVICIOS ESCOLARES'!G33+'DESARROLLO ACADEMICO'!G33+VINCULACIÓN!G33+PLANEACION!G33+CALIDAD!G33+'ADMON REC'!G33</f>
        <v>0</v>
      </c>
      <c r="H30" s="291">
        <f>ELECTROMECANICA!H33+ALIMENTARIAS!H33+'INOVACION AGRICOLA'!H33+'SERVICIOS ESCOLARES'!H33+'DESARROLLO ACADEMICO'!H33+VINCULACIÓN!H33+PLANEACION!H33+CALIDAD!H33+'ADMON REC'!H33</f>
        <v>0</v>
      </c>
      <c r="I30" s="284">
        <f>ALIMENTARIAS!I33</f>
        <v>0</v>
      </c>
      <c r="J30" s="365"/>
      <c r="K30" s="374"/>
      <c r="L30" s="368"/>
      <c r="M30" s="369"/>
      <c r="N30" s="368"/>
      <c r="O30" s="350"/>
    </row>
    <row r="31" spans="1:15" x14ac:dyDescent="0.2">
      <c r="A31" s="282">
        <f>'PRES. TOTAL CALENARIZADA 2013'!A34</f>
        <v>2171</v>
      </c>
      <c r="B31" s="283" t="str">
        <f>'PRES. TOTAL CALENARIZADA 2013'!C34</f>
        <v>Material didactico</v>
      </c>
      <c r="C31" s="284">
        <f>'PRES. TOTAL CALENARIZADA 2013'!D34-K31</f>
        <v>8000</v>
      </c>
      <c r="D31" s="352"/>
      <c r="E31" s="290">
        <f>ELECTROMECANICA!E34+ALIMENTARIAS!E34+'INOVACION AGRICOLA'!E34+'SERVICIOS ESCOLARES'!E34+'DESARROLLO ACADEMICO'!E34+VINCULACIÓN!E34+PLANEACION!E34+CALIDAD!E34+'ADMON REC'!E34</f>
        <v>4000</v>
      </c>
      <c r="F31" s="291">
        <f>ELECTROMECANICA!F34+ALIMENTARIAS!F34+'INOVACION AGRICOLA'!F34+'SERVICIOS ESCOLARES'!F34+'DESARROLLO ACADEMICO'!F34+VINCULACIÓN!F34+PLANEACION!F34+CALIDAD!F34+'ADMON REC'!F34</f>
        <v>4000</v>
      </c>
      <c r="G31" s="291">
        <f>ELECTROMECANICA!G34+ALIMENTARIAS!G34+'INOVACION AGRICOLA'!G34+'SERVICIOS ESCOLARES'!G34+'DESARROLLO ACADEMICO'!G34+VINCULACIÓN!G34+PLANEACION!G34+CALIDAD!G34+'ADMON REC'!G34</f>
        <v>0</v>
      </c>
      <c r="H31" s="291">
        <f>ELECTROMECANICA!H34+ALIMENTARIAS!H34+'INOVACION AGRICOLA'!H34+'SERVICIOS ESCOLARES'!H34+'DESARROLLO ACADEMICO'!H34+VINCULACIÓN!H34+PLANEACION!H34+CALIDAD!H34+'ADMON REC'!H34</f>
        <v>0</v>
      </c>
      <c r="I31" s="284">
        <f>ALIMENTARIAS!I34</f>
        <v>0</v>
      </c>
      <c r="J31" s="365"/>
      <c r="K31" s="374"/>
      <c r="L31" s="368"/>
      <c r="M31" s="369"/>
      <c r="N31" s="368"/>
      <c r="O31" s="350"/>
    </row>
    <row r="32" spans="1:15" ht="17.25" customHeight="1" x14ac:dyDescent="0.2">
      <c r="A32" s="282">
        <f>'PRES. TOTAL CALENARIZADA 2013'!A35</f>
        <v>2211</v>
      </c>
      <c r="B32" s="283" t="str">
        <f>'PRES. TOTAL CALENARIZADA 2013'!C35</f>
        <v>Alimentación para servidores públicos estatales</v>
      </c>
      <c r="C32" s="284">
        <f>'PRES. TOTAL CALENARIZADA 2013'!D35-K32</f>
        <v>70000</v>
      </c>
      <c r="D32" s="352"/>
      <c r="E32" s="290">
        <f>ELECTROMECANICA!E35+ALIMENTARIAS!E35+'INOVACION AGRICOLA'!E35+'SERVICIOS ESCOLARES'!E35+'DESARROLLO ACADEMICO'!E35+VINCULACIÓN!E35+PLANEACION!E35+CALIDAD!E35+'ADMON REC'!E35</f>
        <v>25000</v>
      </c>
      <c r="F32" s="291">
        <f>ELECTROMECANICA!F35+ALIMENTARIAS!F35+'INOVACION AGRICOLA'!F35+'SERVICIOS ESCOLARES'!F35+'DESARROLLO ACADEMICO'!F35+VINCULACIÓN!F35+PLANEACION!F35+CALIDAD!F35+'ADMON REC'!F35</f>
        <v>25000</v>
      </c>
      <c r="G32" s="291">
        <f>ELECTROMECANICA!G35+ALIMENTARIAS!G35+'INOVACION AGRICOLA'!G35+'SERVICIOS ESCOLARES'!G35+'DESARROLLO ACADEMICO'!G35+VINCULACIÓN!G35+PLANEACION!G35+CALIDAD!G35+'ADMON REC'!G35</f>
        <v>10000</v>
      </c>
      <c r="H32" s="291">
        <f>ELECTROMECANICA!H35+ALIMENTARIAS!H35+'INOVACION AGRICOLA'!H35+'SERVICIOS ESCOLARES'!H35+'DESARROLLO ACADEMICO'!H35+VINCULACIÓN!H35+PLANEACION!H35+CALIDAD!H35+'ADMON REC'!H35</f>
        <v>10000</v>
      </c>
      <c r="I32" s="284">
        <f>ALIMENTARIAS!I35</f>
        <v>0</v>
      </c>
      <c r="J32" s="365"/>
      <c r="K32" s="374"/>
      <c r="L32" s="368"/>
      <c r="M32" s="369"/>
      <c r="N32" s="368"/>
      <c r="O32" s="350"/>
    </row>
    <row r="33" spans="1:15" x14ac:dyDescent="0.2">
      <c r="A33" s="282">
        <f>'PRES. TOTAL CALENARIZADA 2013'!A36</f>
        <v>2221</v>
      </c>
      <c r="B33" s="283" t="str">
        <f>'PRES. TOTAL CALENARIZADA 2013'!C36</f>
        <v>Alimentación de animales</v>
      </c>
      <c r="C33" s="284">
        <f>'PRES. TOTAL CALENARIZADA 2013'!D36-K33</f>
        <v>4000</v>
      </c>
      <c r="D33" s="352"/>
      <c r="E33" s="290">
        <f>ELECTROMECANICA!E36+ALIMENTARIAS!E36+'INOVACION AGRICOLA'!E36+'SERVICIOS ESCOLARES'!E36+'DESARROLLO ACADEMICO'!E36+VINCULACIÓN!E36+PLANEACION!E36+CALIDAD!E36+'ADMON REC'!E36</f>
        <v>2000</v>
      </c>
      <c r="F33" s="291">
        <f>ELECTROMECANICA!F36+ALIMENTARIAS!F36+'INOVACION AGRICOLA'!F36+'SERVICIOS ESCOLARES'!F36+'DESARROLLO ACADEMICO'!F36+VINCULACIÓN!F36+PLANEACION!F36+CALIDAD!F36+'ADMON REC'!F36</f>
        <v>2000</v>
      </c>
      <c r="G33" s="291">
        <f>ELECTROMECANICA!G36+ALIMENTARIAS!G36+'INOVACION AGRICOLA'!G36+'SERVICIOS ESCOLARES'!G36+'DESARROLLO ACADEMICO'!G36+VINCULACIÓN!G36+PLANEACION!G36+CALIDAD!G36+'ADMON REC'!G36</f>
        <v>0</v>
      </c>
      <c r="H33" s="291">
        <f>ELECTROMECANICA!H36+ALIMENTARIAS!H36+'INOVACION AGRICOLA'!H36+'SERVICIOS ESCOLARES'!H36+'DESARROLLO ACADEMICO'!H36+VINCULACIÓN!H36+PLANEACION!H36+CALIDAD!H36+'ADMON REC'!H36</f>
        <v>2000</v>
      </c>
      <c r="I33" s="284">
        <f>ALIMENTARIAS!I36</f>
        <v>0</v>
      </c>
      <c r="J33" s="365"/>
      <c r="K33" s="374">
        <v>2000</v>
      </c>
      <c r="L33" s="368"/>
      <c r="M33" s="369"/>
      <c r="N33" s="368"/>
      <c r="O33" s="350"/>
    </row>
    <row r="34" spans="1:15" ht="22.5" x14ac:dyDescent="0.2">
      <c r="A34" s="282">
        <f>'PRES. TOTAL CALENARIZADA 2013'!A37</f>
        <v>2231</v>
      </c>
      <c r="B34" s="283" t="str">
        <f>'PRES. TOTAL CALENARIZADA 2013'!C37</f>
        <v>Utensilios para el servicio de alimentación</v>
      </c>
      <c r="C34" s="284">
        <f>'PRES. TOTAL CALENARIZADA 2013'!D37-K34</f>
        <v>12128.190000000002</v>
      </c>
      <c r="D34" s="352"/>
      <c r="E34" s="290">
        <f>ELECTROMECANICA!E37+ALIMENTARIAS!E37+'INOVACION AGRICOLA'!E37+'SERVICIOS ESCOLARES'!E37+'DESARROLLO ACADEMICO'!E37+VINCULACIÓN!E37+PLANEACION!E37+CALIDAD!E37+'ADMON REC'!E37</f>
        <v>5500</v>
      </c>
      <c r="F34" s="291">
        <f>ELECTROMECANICA!F37+ALIMENTARIAS!F37+'INOVACION AGRICOLA'!F37+'SERVICIOS ESCOLARES'!F37+'DESARROLLO ACADEMICO'!F37+VINCULACIÓN!F37+PLANEACION!F37+CALIDAD!F37+'ADMON REC'!F37</f>
        <v>5500</v>
      </c>
      <c r="G34" s="291">
        <f>ELECTROMECANICA!G37+ALIMENTARIAS!G37+'INOVACION AGRICOLA'!G37+'SERVICIOS ESCOLARES'!G37+'DESARROLLO ACADEMICO'!G37+VINCULACIÓN!G37+PLANEACION!G37+CALIDAD!G37+'ADMON REC'!G37</f>
        <v>0</v>
      </c>
      <c r="H34" s="291">
        <f>ELECTROMECANICA!H37+ALIMENTARIAS!H37+'INOVACION AGRICOLA'!H37+'SERVICIOS ESCOLARES'!H37+'DESARROLLO ACADEMICO'!H37+VINCULACIÓN!H37+PLANEACION!H37+CALIDAD!H37+'ADMON REC'!H37</f>
        <v>5000</v>
      </c>
      <c r="I34" s="284">
        <f>ALIMENTARIAS!I37</f>
        <v>1128.19</v>
      </c>
      <c r="J34" s="365"/>
      <c r="K34" s="374">
        <v>5000</v>
      </c>
      <c r="L34" s="368"/>
      <c r="M34" s="369"/>
      <c r="N34" s="368"/>
      <c r="O34" s="350"/>
    </row>
    <row r="35" spans="1:15" x14ac:dyDescent="0.2">
      <c r="A35" s="282">
        <f>'PRES. TOTAL CALENARIZADA 2013'!A38</f>
        <v>2411</v>
      </c>
      <c r="B35" s="283" t="str">
        <f>'PRES. TOTAL CALENARIZADA 2013'!C38</f>
        <v>Productos minerales no metálicos</v>
      </c>
      <c r="C35" s="284">
        <f>'PRES. TOTAL CALENARIZADA 2013'!D38-K35</f>
        <v>9000</v>
      </c>
      <c r="D35" s="352"/>
      <c r="E35" s="290">
        <f>ELECTROMECANICA!E38+ALIMENTARIAS!E38+'INOVACION AGRICOLA'!E38+'SERVICIOS ESCOLARES'!E38+'DESARROLLO ACADEMICO'!E38+VINCULACIÓN!E38+PLANEACION!E38+CALIDAD!E38+'ADMON REC'!E38</f>
        <v>1000</v>
      </c>
      <c r="F35" s="291">
        <f>ELECTROMECANICA!F38+ALIMENTARIAS!F38+'INOVACION AGRICOLA'!F38+'SERVICIOS ESCOLARES'!F38+'DESARROLLO ACADEMICO'!F38+VINCULACIÓN!F38+PLANEACION!F38+CALIDAD!F38+'ADMON REC'!F38</f>
        <v>8000</v>
      </c>
      <c r="G35" s="291">
        <f>ELECTROMECANICA!G38+ALIMENTARIAS!G38+'INOVACION AGRICOLA'!G38+'SERVICIOS ESCOLARES'!G38+'DESARROLLO ACADEMICO'!G38+VINCULACIÓN!G38+PLANEACION!G38+CALIDAD!G38+'ADMON REC'!G38</f>
        <v>0</v>
      </c>
      <c r="H35" s="291">
        <f>ELECTROMECANICA!H38+ALIMENTARIAS!H38+'INOVACION AGRICOLA'!H38+'SERVICIOS ESCOLARES'!H38+'DESARROLLO ACADEMICO'!H38+VINCULACIÓN!H38+PLANEACION!H38+CALIDAD!H38+'ADMON REC'!H38</f>
        <v>0</v>
      </c>
      <c r="I35" s="284">
        <f>ALIMENTARIAS!I38</f>
        <v>0</v>
      </c>
      <c r="J35" s="365"/>
      <c r="K35" s="374"/>
      <c r="L35" s="368"/>
      <c r="M35" s="369"/>
      <c r="N35" s="368"/>
      <c r="O35" s="350"/>
    </row>
    <row r="36" spans="1:15" x14ac:dyDescent="0.2">
      <c r="A36" s="282">
        <f>'PRES. TOTAL CALENARIZADA 2013'!A39</f>
        <v>2421</v>
      </c>
      <c r="B36" s="283" t="str">
        <f>'PRES. TOTAL CALENARIZADA 2013'!C39</f>
        <v>Cemento y productos de concreto</v>
      </c>
      <c r="C36" s="284">
        <f>'PRES. TOTAL CALENARIZADA 2013'!D39-K36</f>
        <v>2000</v>
      </c>
      <c r="D36" s="352"/>
      <c r="E36" s="290">
        <f>ELECTROMECANICA!E39+ALIMENTARIAS!E39+'INOVACION AGRICOLA'!E39+'SERVICIOS ESCOLARES'!E39+'DESARROLLO ACADEMICO'!E39+VINCULACIÓN!E39+PLANEACION!E39+CALIDAD!E39+'ADMON REC'!E39</f>
        <v>1000</v>
      </c>
      <c r="F36" s="291">
        <f>ELECTROMECANICA!F39+ALIMENTARIAS!F39+'INOVACION AGRICOLA'!F39+'SERVICIOS ESCOLARES'!F39+'DESARROLLO ACADEMICO'!F39+VINCULACIÓN!F39+PLANEACION!F39+CALIDAD!F39+'ADMON REC'!F39</f>
        <v>1000</v>
      </c>
      <c r="G36" s="291">
        <f>ELECTROMECANICA!G39+ALIMENTARIAS!G39+'INOVACION AGRICOLA'!G39+'SERVICIOS ESCOLARES'!G39+'DESARROLLO ACADEMICO'!G39+VINCULACIÓN!G39+PLANEACION!G39+CALIDAD!G39+'ADMON REC'!G39</f>
        <v>0</v>
      </c>
      <c r="H36" s="291">
        <f>ELECTROMECANICA!H39+ALIMENTARIAS!H39+'INOVACION AGRICOLA'!H39+'SERVICIOS ESCOLARES'!H39+'DESARROLLO ACADEMICO'!H39+VINCULACIÓN!H39+PLANEACION!H39+CALIDAD!H39+'ADMON REC'!H39</f>
        <v>0</v>
      </c>
      <c r="I36" s="284">
        <f>ALIMENTARIAS!I39</f>
        <v>0</v>
      </c>
      <c r="J36" s="365"/>
      <c r="K36" s="374"/>
      <c r="L36" s="368"/>
      <c r="M36" s="369"/>
      <c r="N36" s="368"/>
      <c r="O36" s="350"/>
    </row>
    <row r="37" spans="1:15" x14ac:dyDescent="0.2">
      <c r="A37" s="282">
        <f>'PRES. TOTAL CALENARIZADA 2013'!A40</f>
        <v>2431</v>
      </c>
      <c r="B37" s="283" t="str">
        <f>'PRES. TOTAL CALENARIZADA 2013'!C40</f>
        <v>Cal, Yeso y productos de yeso</v>
      </c>
      <c r="C37" s="284">
        <f>'PRES. TOTAL CALENARIZADA 2013'!D40-K37</f>
        <v>7000</v>
      </c>
      <c r="D37" s="352"/>
      <c r="E37" s="290">
        <f>ELECTROMECANICA!E40+ALIMENTARIAS!E40+'INOVACION AGRICOLA'!E40+'SERVICIOS ESCOLARES'!E40+'DESARROLLO ACADEMICO'!E40+VINCULACIÓN!E40+PLANEACION!E40+CALIDAD!E40+'ADMON REC'!E40</f>
        <v>1000</v>
      </c>
      <c r="F37" s="291">
        <f>ELECTROMECANICA!F40+ALIMENTARIAS!F40+'INOVACION AGRICOLA'!F40+'SERVICIOS ESCOLARES'!F40+'DESARROLLO ACADEMICO'!F40+VINCULACIÓN!F40+PLANEACION!F40+CALIDAD!F40+'ADMON REC'!F40</f>
        <v>6000</v>
      </c>
      <c r="G37" s="291">
        <f>ELECTROMECANICA!G40+ALIMENTARIAS!G40+'INOVACION AGRICOLA'!G40+'SERVICIOS ESCOLARES'!G40+'DESARROLLO ACADEMICO'!G40+VINCULACIÓN!G40+PLANEACION!G40+CALIDAD!G40+'ADMON REC'!G40</f>
        <v>0</v>
      </c>
      <c r="H37" s="291">
        <f>ELECTROMECANICA!H40+ALIMENTARIAS!H40+'INOVACION AGRICOLA'!H40+'SERVICIOS ESCOLARES'!H40+'DESARROLLO ACADEMICO'!H40+VINCULACIÓN!H40+PLANEACION!H40+CALIDAD!H40+'ADMON REC'!H40</f>
        <v>0</v>
      </c>
      <c r="I37" s="284">
        <f>ALIMENTARIAS!I40</f>
        <v>0</v>
      </c>
      <c r="J37" s="365"/>
      <c r="K37" s="374"/>
      <c r="L37" s="368"/>
      <c r="M37" s="369"/>
      <c r="N37" s="368"/>
      <c r="O37" s="350"/>
    </row>
    <row r="38" spans="1:15" x14ac:dyDescent="0.2">
      <c r="A38" s="282">
        <f>'PRES. TOTAL CALENARIZADA 2013'!A41</f>
        <v>2441</v>
      </c>
      <c r="B38" s="283" t="str">
        <f>'PRES. TOTAL CALENARIZADA 2013'!C41</f>
        <v>Madera y productos de madera</v>
      </c>
      <c r="C38" s="284">
        <f>'PRES. TOTAL CALENARIZADA 2013'!D41-K38</f>
        <v>2000</v>
      </c>
      <c r="D38" s="352"/>
      <c r="E38" s="290">
        <f>ELECTROMECANICA!E41+ALIMENTARIAS!E41+'INOVACION AGRICOLA'!E41+'SERVICIOS ESCOLARES'!E41+'DESARROLLO ACADEMICO'!E41+VINCULACIÓN!E41+PLANEACION!E41+CALIDAD!E41+'ADMON REC'!E41</f>
        <v>1000</v>
      </c>
      <c r="F38" s="291">
        <f>ELECTROMECANICA!F41+ALIMENTARIAS!F41+'INOVACION AGRICOLA'!F41+'SERVICIOS ESCOLARES'!F41+'DESARROLLO ACADEMICO'!F41+VINCULACIÓN!F41+PLANEACION!F41+CALIDAD!F41+'ADMON REC'!F41</f>
        <v>1000</v>
      </c>
      <c r="G38" s="291">
        <f>ELECTROMECANICA!G41+ALIMENTARIAS!G41+'INOVACION AGRICOLA'!G41+'SERVICIOS ESCOLARES'!G41+'DESARROLLO ACADEMICO'!G41+VINCULACIÓN!G41+PLANEACION!G41+CALIDAD!G41+'ADMON REC'!G41</f>
        <v>0</v>
      </c>
      <c r="H38" s="291">
        <f>ELECTROMECANICA!H41+ALIMENTARIAS!H41+'INOVACION AGRICOLA'!H41+'SERVICIOS ESCOLARES'!H41+'DESARROLLO ACADEMICO'!H41+VINCULACIÓN!H41+PLANEACION!H41+CALIDAD!H41+'ADMON REC'!H41</f>
        <v>0</v>
      </c>
      <c r="I38" s="284">
        <f>ALIMENTARIAS!I41</f>
        <v>0</v>
      </c>
      <c r="J38" s="365"/>
      <c r="K38" s="374"/>
      <c r="L38" s="368"/>
      <c r="M38" s="369"/>
      <c r="N38" s="368"/>
      <c r="O38" s="350"/>
    </row>
    <row r="39" spans="1:15" x14ac:dyDescent="0.2">
      <c r="A39" s="282">
        <f>'PRES. TOTAL CALENARIZADA 2013'!A42</f>
        <v>2451</v>
      </c>
      <c r="B39" s="283" t="str">
        <f>'PRES. TOTAL CALENARIZADA 2013'!C42</f>
        <v>Vidrio y productos de vidrio</v>
      </c>
      <c r="C39" s="284">
        <f>'PRES. TOTAL CALENARIZADA 2013'!D42-K39</f>
        <v>6000</v>
      </c>
      <c r="D39" s="352"/>
      <c r="E39" s="290">
        <f>ELECTROMECANICA!E42+ALIMENTARIAS!E42+'INOVACION AGRICOLA'!E42+'SERVICIOS ESCOLARES'!E42+'DESARROLLO ACADEMICO'!E42+VINCULACIÓN!E42+PLANEACION!E42+CALIDAD!E42+'ADMON REC'!E42</f>
        <v>3000</v>
      </c>
      <c r="F39" s="291">
        <f>ELECTROMECANICA!F42+ALIMENTARIAS!F42+'INOVACION AGRICOLA'!F42+'SERVICIOS ESCOLARES'!F42+'DESARROLLO ACADEMICO'!F42+VINCULACIÓN!F42+PLANEACION!F42+CALIDAD!F42+'ADMON REC'!F42</f>
        <v>3000</v>
      </c>
      <c r="G39" s="291">
        <f>ELECTROMECANICA!G42+ALIMENTARIAS!G42+'INOVACION AGRICOLA'!G42+'SERVICIOS ESCOLARES'!G42+'DESARROLLO ACADEMICO'!G42+VINCULACIÓN!G42+PLANEACION!G42+CALIDAD!G42+'ADMON REC'!G42</f>
        <v>0</v>
      </c>
      <c r="H39" s="291">
        <f>ELECTROMECANICA!H42+ALIMENTARIAS!H42+'INOVACION AGRICOLA'!H42+'SERVICIOS ESCOLARES'!H42+'DESARROLLO ACADEMICO'!H42+VINCULACIÓN!H42+PLANEACION!H42+CALIDAD!H42+'ADMON REC'!H42</f>
        <v>0</v>
      </c>
      <c r="I39" s="284">
        <f>ALIMENTARIAS!I42</f>
        <v>0</v>
      </c>
      <c r="J39" s="365"/>
      <c r="K39" s="374"/>
      <c r="L39" s="368"/>
      <c r="M39" s="369"/>
      <c r="N39" s="368"/>
      <c r="O39" s="350"/>
    </row>
    <row r="40" spans="1:15" x14ac:dyDescent="0.2">
      <c r="A40" s="282">
        <f>'PRES. TOTAL CALENARIZADA 2013'!A43</f>
        <v>2461</v>
      </c>
      <c r="B40" s="283" t="str">
        <f>'PRES. TOTAL CALENARIZADA 2013'!C43</f>
        <v>Material electrico y electronico</v>
      </c>
      <c r="C40" s="284">
        <f>'PRES. TOTAL CALENARIZADA 2013'!D43-K40</f>
        <v>20000</v>
      </c>
      <c r="D40" s="352"/>
      <c r="E40" s="290">
        <f>ELECTROMECANICA!E43+ALIMENTARIAS!E43+'INOVACION AGRICOLA'!E43+'SERVICIOS ESCOLARES'!E43+'DESARROLLO ACADEMICO'!E43+VINCULACIÓN!E43+PLANEACION!E43+CALIDAD!E43+'ADMON REC'!E43</f>
        <v>10000</v>
      </c>
      <c r="F40" s="291">
        <f>ELECTROMECANICA!F43+ALIMENTARIAS!F43+'INOVACION AGRICOLA'!F43+'SERVICIOS ESCOLARES'!F43+'DESARROLLO ACADEMICO'!F43+VINCULACIÓN!F43+PLANEACION!F43+CALIDAD!F43+'ADMON REC'!F43</f>
        <v>10000</v>
      </c>
      <c r="G40" s="291">
        <f>ELECTROMECANICA!G43+ALIMENTARIAS!G43+'INOVACION AGRICOLA'!G43+'SERVICIOS ESCOLARES'!G43+'DESARROLLO ACADEMICO'!G43+VINCULACIÓN!G43+PLANEACION!G43+CALIDAD!G43+'ADMON REC'!G43</f>
        <v>0</v>
      </c>
      <c r="H40" s="291">
        <f>ELECTROMECANICA!H43+ALIMENTARIAS!H43+'INOVACION AGRICOLA'!H43+'SERVICIOS ESCOLARES'!H43+'DESARROLLO ACADEMICO'!H43+VINCULACIÓN!H43+PLANEACION!H43+CALIDAD!H43+'ADMON REC'!H43</f>
        <v>0</v>
      </c>
      <c r="I40" s="284">
        <f>ALIMENTARIAS!I43</f>
        <v>0</v>
      </c>
      <c r="J40" s="365"/>
      <c r="K40" s="374"/>
      <c r="L40" s="368"/>
      <c r="M40" s="369"/>
      <c r="N40" s="368"/>
      <c r="O40" s="350"/>
    </row>
    <row r="41" spans="1:15" x14ac:dyDescent="0.2">
      <c r="A41" s="282">
        <f>'PRES. TOTAL CALENARIZADA 2013'!A44</f>
        <v>2471</v>
      </c>
      <c r="B41" s="283" t="str">
        <f>'PRES. TOTAL CALENARIZADA 2013'!C44</f>
        <v>Artículos Metálicos</v>
      </c>
      <c r="C41" s="284">
        <f>'PRES. TOTAL CALENARIZADA 2013'!D44-K41</f>
        <v>8224.68</v>
      </c>
      <c r="D41" s="352"/>
      <c r="E41" s="290">
        <f>ELECTROMECANICA!E44+ALIMENTARIAS!E44+'INOVACION AGRICOLA'!E44+'SERVICIOS ESCOLARES'!E44+'DESARROLLO ACADEMICO'!E44+VINCULACIÓN!E44+PLANEACION!E44+CALIDAD!E44+'ADMON REC'!E44</f>
        <v>5224.68</v>
      </c>
      <c r="F41" s="291">
        <f>ELECTROMECANICA!F44+ALIMENTARIAS!F44+'INOVACION AGRICOLA'!F44+'SERVICIOS ESCOLARES'!F44+'DESARROLLO ACADEMICO'!F44+VINCULACIÓN!F44+PLANEACION!F44+CALIDAD!F44+'ADMON REC'!F44</f>
        <v>3000</v>
      </c>
      <c r="G41" s="291">
        <f>ELECTROMECANICA!G44+ALIMENTARIAS!G44+'INOVACION AGRICOLA'!G44+'SERVICIOS ESCOLARES'!G44+'DESARROLLO ACADEMICO'!G44+VINCULACIÓN!G44+PLANEACION!G44+CALIDAD!G44+'ADMON REC'!G44</f>
        <v>0</v>
      </c>
      <c r="H41" s="291">
        <f>ELECTROMECANICA!H44+ALIMENTARIAS!H44+'INOVACION AGRICOLA'!H44+'SERVICIOS ESCOLARES'!H44+'DESARROLLO ACADEMICO'!H44+VINCULACIÓN!H44+PLANEACION!H44+CALIDAD!H44+'ADMON REC'!H44</f>
        <v>20000</v>
      </c>
      <c r="I41" s="284">
        <f>ALIMENTARIAS!I44</f>
        <v>0</v>
      </c>
      <c r="J41" s="365"/>
      <c r="K41" s="374">
        <v>20000</v>
      </c>
      <c r="L41" s="368"/>
      <c r="M41" s="369"/>
      <c r="N41" s="368"/>
      <c r="O41" s="350"/>
    </row>
    <row r="42" spans="1:15" x14ac:dyDescent="0.2">
      <c r="A42" s="282">
        <f>'PRES. TOTAL CALENARIZADA 2013'!A45</f>
        <v>2481</v>
      </c>
      <c r="B42" s="283" t="str">
        <f>'PRES. TOTAL CALENARIZADA 2013'!C45</f>
        <v>Materiales complementarios</v>
      </c>
      <c r="C42" s="284">
        <f>'PRES. TOTAL CALENARIZADA 2013'!D45-K42</f>
        <v>14000</v>
      </c>
      <c r="D42" s="352"/>
      <c r="E42" s="290">
        <f>ELECTROMECANICA!E45+ALIMENTARIAS!E45+'INOVACION AGRICOLA'!E45+'SERVICIOS ESCOLARES'!E45+'DESARROLLO ACADEMICO'!E45+VINCULACIÓN!E45+PLANEACION!E45+CALIDAD!E45+'ADMON REC'!E45</f>
        <v>2000</v>
      </c>
      <c r="F42" s="291">
        <f>ELECTROMECANICA!F45+ALIMENTARIAS!F45+'INOVACION AGRICOLA'!F45+'SERVICIOS ESCOLARES'!F45+'DESARROLLO ACADEMICO'!F45+VINCULACIÓN!F45+PLANEACION!F45+CALIDAD!F45+'ADMON REC'!F45</f>
        <v>12000</v>
      </c>
      <c r="G42" s="291">
        <f>ELECTROMECANICA!G45+ALIMENTARIAS!G45+'INOVACION AGRICOLA'!G45+'SERVICIOS ESCOLARES'!G45+'DESARROLLO ACADEMICO'!G45+VINCULACIÓN!G45+PLANEACION!G45+CALIDAD!G45+'ADMON REC'!G45</f>
        <v>0</v>
      </c>
      <c r="H42" s="291">
        <f>ELECTROMECANICA!H45+ALIMENTARIAS!H45+'INOVACION AGRICOLA'!H45+'SERVICIOS ESCOLARES'!H45+'DESARROLLO ACADEMICO'!H45+VINCULACIÓN!H45+PLANEACION!H45+CALIDAD!H45+'ADMON REC'!H45</f>
        <v>0</v>
      </c>
      <c r="I42" s="284">
        <f>ALIMENTARIAS!I45</f>
        <v>0</v>
      </c>
      <c r="J42" s="365"/>
      <c r="K42" s="374"/>
      <c r="L42" s="368"/>
      <c r="M42" s="369"/>
      <c r="N42" s="368"/>
      <c r="O42" s="350"/>
    </row>
    <row r="43" spans="1:15" ht="22.5" x14ac:dyDescent="0.2">
      <c r="A43" s="282">
        <f>'PRES. TOTAL CALENARIZADA 2013'!A46</f>
        <v>2491</v>
      </c>
      <c r="B43" s="283" t="str">
        <f>'PRES. TOTAL CALENARIZADA 2013'!C46</f>
        <v>Otros materiales y artículos de construcción y reparación</v>
      </c>
      <c r="C43" s="284">
        <f>'PRES. TOTAL CALENARIZADA 2013'!D46-K43</f>
        <v>13000</v>
      </c>
      <c r="D43" s="352"/>
      <c r="E43" s="290">
        <f>ELECTROMECANICA!E46+ALIMENTARIAS!E46+'INOVACION AGRICOLA'!E46+'SERVICIOS ESCOLARES'!E46+'DESARROLLO ACADEMICO'!E46+VINCULACIÓN!E46+PLANEACION!E46+CALIDAD!E46+'ADMON REC'!E46</f>
        <v>4000</v>
      </c>
      <c r="F43" s="291">
        <f>ELECTROMECANICA!F46+ALIMENTARIAS!F46+'INOVACION AGRICOLA'!F46+'SERVICIOS ESCOLARES'!F46+'DESARROLLO ACADEMICO'!F46+VINCULACIÓN!F46+PLANEACION!F46+CALIDAD!F46+'ADMON REC'!F46</f>
        <v>9000</v>
      </c>
      <c r="G43" s="291">
        <f>ELECTROMECANICA!G46+ALIMENTARIAS!G46+'INOVACION AGRICOLA'!G46+'SERVICIOS ESCOLARES'!G46+'DESARROLLO ACADEMICO'!G46+VINCULACIÓN!G46+PLANEACION!G46+CALIDAD!G46+'ADMON REC'!G46</f>
        <v>0</v>
      </c>
      <c r="H43" s="291">
        <f>ELECTROMECANICA!H46+ALIMENTARIAS!H46+'INOVACION AGRICOLA'!H46+'SERVICIOS ESCOLARES'!H46+'DESARROLLO ACADEMICO'!H46+VINCULACIÓN!H46+PLANEACION!H46+CALIDAD!H46+'ADMON REC'!H46</f>
        <v>0</v>
      </c>
      <c r="I43" s="284">
        <f>ALIMENTARIAS!I46</f>
        <v>0</v>
      </c>
      <c r="J43" s="365"/>
      <c r="K43" s="374"/>
      <c r="L43" s="368"/>
      <c r="M43" s="369"/>
      <c r="N43" s="368"/>
      <c r="O43" s="350"/>
    </row>
    <row r="44" spans="1:15" x14ac:dyDescent="0.2">
      <c r="A44" s="282">
        <f>'PRES. TOTAL CALENARIZADA 2013'!A47</f>
        <v>2511</v>
      </c>
      <c r="B44" s="283" t="str">
        <f>'PRES. TOTAL CALENARIZADA 2013'!C47</f>
        <v>Productos químicos básicos</v>
      </c>
      <c r="C44" s="284">
        <f>'PRES. TOTAL CALENARIZADA 2013'!D47-K44</f>
        <v>41904.26</v>
      </c>
      <c r="D44" s="352"/>
      <c r="E44" s="290">
        <f>ELECTROMECANICA!E47+ALIMENTARIAS!E47+'INOVACION AGRICOLA'!E47+'SERVICIOS ESCOLARES'!E47+'DESARROLLO ACADEMICO'!E47+VINCULACIÓN!E47+PLANEACION!E47+CALIDAD!E47+'ADMON REC'!E47</f>
        <v>20000</v>
      </c>
      <c r="F44" s="291">
        <f>ELECTROMECANICA!F47+ALIMENTARIAS!F47+'INOVACION AGRICOLA'!F47+'SERVICIOS ESCOLARES'!F47+'DESARROLLO ACADEMICO'!F47+VINCULACIÓN!F47+PLANEACION!F47+CALIDAD!F47+'ADMON REC'!F47</f>
        <v>20000</v>
      </c>
      <c r="G44" s="291">
        <f>ELECTROMECANICA!G47+ALIMENTARIAS!G47+'INOVACION AGRICOLA'!G47+'SERVICIOS ESCOLARES'!G47+'DESARROLLO ACADEMICO'!G47+VINCULACIÓN!G47+PLANEACION!G47+CALIDAD!G47+'ADMON REC'!G47</f>
        <v>0</v>
      </c>
      <c r="H44" s="291">
        <f>ELECTROMECANICA!H47+ALIMENTARIAS!H47+'INOVACION AGRICOLA'!H47+'SERVICIOS ESCOLARES'!H47+'DESARROLLO ACADEMICO'!H47+VINCULACIÓN!H47+PLANEACION!H47+CALIDAD!H47+'ADMON REC'!H47</f>
        <v>0</v>
      </c>
      <c r="I44" s="284">
        <f>ALIMENTARIAS!I47</f>
        <v>1904.26</v>
      </c>
      <c r="J44" s="365"/>
      <c r="K44" s="374"/>
      <c r="L44" s="368"/>
      <c r="M44" s="369"/>
      <c r="N44" s="368"/>
      <c r="O44" s="350"/>
    </row>
    <row r="45" spans="1:15" ht="22.5" x14ac:dyDescent="0.2">
      <c r="A45" s="282">
        <f>'PRES. TOTAL CALENARIZADA 2013'!A48</f>
        <v>2521</v>
      </c>
      <c r="B45" s="283" t="str">
        <f>'PRES. TOTAL CALENARIZADA 2013'!C48</f>
        <v>Fertilizantes, pesticidas y otros agroquímicos</v>
      </c>
      <c r="C45" s="284">
        <f>'PRES. TOTAL CALENARIZADA 2013'!D48-K45</f>
        <v>14400</v>
      </c>
      <c r="D45" s="352"/>
      <c r="E45" s="290">
        <f>ELECTROMECANICA!E48+ALIMENTARIAS!E48+'INOVACION AGRICOLA'!E48+'SERVICIOS ESCOLARES'!E48+'DESARROLLO ACADEMICO'!E48+VINCULACIÓN!E48+PLANEACION!E48+CALIDAD!E48+'ADMON REC'!E48</f>
        <v>7200</v>
      </c>
      <c r="F45" s="291">
        <f>ELECTROMECANICA!F48+ALIMENTARIAS!F48+'INOVACION AGRICOLA'!F48+'SERVICIOS ESCOLARES'!F48+'DESARROLLO ACADEMICO'!F48+VINCULACIÓN!F48+PLANEACION!F48+CALIDAD!F48+'ADMON REC'!F48</f>
        <v>7200</v>
      </c>
      <c r="G45" s="291">
        <f>ELECTROMECANICA!G48+ALIMENTARIAS!G48+'INOVACION AGRICOLA'!G48+'SERVICIOS ESCOLARES'!G48+'DESARROLLO ACADEMICO'!G48+VINCULACIÓN!G48+PLANEACION!G48+CALIDAD!G48+'ADMON REC'!G48</f>
        <v>0</v>
      </c>
      <c r="H45" s="291">
        <f>ELECTROMECANICA!H48+ALIMENTARIAS!H48+'INOVACION AGRICOLA'!H48+'SERVICIOS ESCOLARES'!H48+'DESARROLLO ACADEMICO'!H48+VINCULACIÓN!H48+PLANEACION!H48+CALIDAD!H48+'ADMON REC'!H48</f>
        <v>0</v>
      </c>
      <c r="I45" s="284">
        <f>ALIMENTARIAS!I48</f>
        <v>0</v>
      </c>
      <c r="J45" s="365"/>
      <c r="K45" s="374"/>
      <c r="L45" s="368"/>
      <c r="M45" s="369"/>
      <c r="N45" s="368"/>
      <c r="O45" s="350"/>
    </row>
    <row r="46" spans="1:15" x14ac:dyDescent="0.2">
      <c r="A46" s="282">
        <f>'PRES. TOTAL CALENARIZADA 2013'!A49</f>
        <v>2531</v>
      </c>
      <c r="B46" s="283" t="str">
        <f>'PRES. TOTAL CALENARIZADA 2013'!C49</f>
        <v>Medicinas y productos farmacéuticos</v>
      </c>
      <c r="C46" s="284">
        <f>'PRES. TOTAL CALENARIZADA 2013'!D49-K46</f>
        <v>4000</v>
      </c>
      <c r="D46" s="352"/>
      <c r="E46" s="290">
        <f>ELECTROMECANICA!E49+ALIMENTARIAS!E49+'INOVACION AGRICOLA'!E49+'SERVICIOS ESCOLARES'!E49+'DESARROLLO ACADEMICO'!E49+VINCULACIÓN!E49+PLANEACION!E49+CALIDAD!E49+'ADMON REC'!E49</f>
        <v>2000</v>
      </c>
      <c r="F46" s="291">
        <f>ELECTROMECANICA!F49+ALIMENTARIAS!F49+'INOVACION AGRICOLA'!F49+'SERVICIOS ESCOLARES'!F49+'DESARROLLO ACADEMICO'!F49+VINCULACIÓN!F49+PLANEACION!F49+CALIDAD!F49+'ADMON REC'!F49</f>
        <v>2000</v>
      </c>
      <c r="G46" s="291">
        <f>ELECTROMECANICA!G49+ALIMENTARIAS!G49+'INOVACION AGRICOLA'!G49+'SERVICIOS ESCOLARES'!G49+'DESARROLLO ACADEMICO'!G49+VINCULACIÓN!G49+PLANEACION!G49+CALIDAD!G49+'ADMON REC'!G49</f>
        <v>0</v>
      </c>
      <c r="H46" s="291">
        <f>ELECTROMECANICA!H49+ALIMENTARIAS!H49+'INOVACION AGRICOLA'!H49+'SERVICIOS ESCOLARES'!H49+'DESARROLLO ACADEMICO'!H49+VINCULACIÓN!H49+PLANEACION!H49+CALIDAD!H49+'ADMON REC'!H49</f>
        <v>0</v>
      </c>
      <c r="I46" s="284">
        <f>ALIMENTARIAS!I49</f>
        <v>0</v>
      </c>
      <c r="J46" s="365"/>
      <c r="K46" s="374"/>
      <c r="L46" s="368"/>
      <c r="M46" s="369"/>
      <c r="N46" s="368"/>
      <c r="O46" s="350"/>
    </row>
    <row r="47" spans="1:15" ht="22.5" x14ac:dyDescent="0.2">
      <c r="A47" s="282">
        <f>'PRES. TOTAL CALENARIZADA 2013'!A50</f>
        <v>2541</v>
      </c>
      <c r="B47" s="283" t="str">
        <f>'PRES. TOTAL CALENARIZADA 2013'!C50</f>
        <v>Materiales, accesorios y suministros médicos</v>
      </c>
      <c r="C47" s="284">
        <f>'PRES. TOTAL CALENARIZADA 2013'!D50-K47</f>
        <v>6000</v>
      </c>
      <c r="D47" s="352"/>
      <c r="E47" s="290">
        <f>ELECTROMECANICA!E50+ALIMENTARIAS!E50+'INOVACION AGRICOLA'!E50+'SERVICIOS ESCOLARES'!E50+'DESARROLLO ACADEMICO'!E50+VINCULACIÓN!E50+PLANEACION!E50+CALIDAD!E50+'ADMON REC'!E50</f>
        <v>3000</v>
      </c>
      <c r="F47" s="291">
        <f>ELECTROMECANICA!F50+ALIMENTARIAS!F50+'INOVACION AGRICOLA'!F50+'SERVICIOS ESCOLARES'!F50+'DESARROLLO ACADEMICO'!F50+VINCULACIÓN!F50+PLANEACION!F50+CALIDAD!F50+'ADMON REC'!F50</f>
        <v>3000</v>
      </c>
      <c r="G47" s="291">
        <f>ELECTROMECANICA!G50+ALIMENTARIAS!G50+'INOVACION AGRICOLA'!G50+'SERVICIOS ESCOLARES'!G50+'DESARROLLO ACADEMICO'!G50+VINCULACIÓN!G50+PLANEACION!G50+CALIDAD!G50+'ADMON REC'!G50</f>
        <v>0</v>
      </c>
      <c r="H47" s="291">
        <f>ELECTROMECANICA!H50+ALIMENTARIAS!H50+'INOVACION AGRICOLA'!H50+'SERVICIOS ESCOLARES'!H50+'DESARROLLO ACADEMICO'!H50+VINCULACIÓN!H50+PLANEACION!H50+CALIDAD!H50+'ADMON REC'!H50</f>
        <v>0</v>
      </c>
      <c r="I47" s="284">
        <f>ALIMENTARIAS!I50</f>
        <v>0</v>
      </c>
      <c r="J47" s="365"/>
      <c r="K47" s="374"/>
      <c r="L47" s="368"/>
      <c r="M47" s="369"/>
      <c r="N47" s="368"/>
      <c r="O47" s="350"/>
    </row>
    <row r="48" spans="1:15" ht="22.5" x14ac:dyDescent="0.2">
      <c r="A48" s="282">
        <f>'PRES. TOTAL CALENARIZADA 2013'!A51</f>
        <v>2551</v>
      </c>
      <c r="B48" s="283" t="str">
        <f>'PRES. TOTAL CALENARIZADA 2013'!C51</f>
        <v>Materiales, accesorios y suministros de laboratorio</v>
      </c>
      <c r="C48" s="284">
        <f>'PRES. TOTAL CALENARIZADA 2013'!D51-K48</f>
        <v>52740.33</v>
      </c>
      <c r="D48" s="352"/>
      <c r="E48" s="290">
        <f>ELECTROMECANICA!E51+ALIMENTARIAS!E51+'INOVACION AGRICOLA'!E51+'SERVICIOS ESCOLARES'!E51+'DESARROLLO ACADEMICO'!E51+VINCULACIÓN!E51+PLANEACION!E51+CALIDAD!E51+'ADMON REC'!E51</f>
        <v>18000</v>
      </c>
      <c r="F48" s="291">
        <f>ELECTROMECANICA!F51+ALIMENTARIAS!F51+'INOVACION AGRICOLA'!F51+'SERVICIOS ESCOLARES'!F51+'DESARROLLO ACADEMICO'!F51+VINCULACIÓN!F51+PLANEACION!F51+CALIDAD!F51+'ADMON REC'!F51</f>
        <v>18000</v>
      </c>
      <c r="G48" s="291">
        <f>ELECTROMECANICA!G51+ALIMENTARIAS!G51+'INOVACION AGRICOLA'!G51+'SERVICIOS ESCOLARES'!G51+'DESARROLLO ACADEMICO'!G51+VINCULACIÓN!G51+PLANEACION!G51+CALIDAD!G51+'ADMON REC'!G51</f>
        <v>0</v>
      </c>
      <c r="H48" s="291">
        <f>ELECTROMECANICA!H51+ALIMENTARIAS!H51+'INOVACION AGRICOLA'!H51+'SERVICIOS ESCOLARES'!H51+'DESARROLLO ACADEMICO'!H51+VINCULACIÓN!H51+PLANEACION!H51+CALIDAD!H51+'ADMON REC'!H51</f>
        <v>20000</v>
      </c>
      <c r="I48" s="284">
        <f>ALIMENTARIAS!I51</f>
        <v>6740.33</v>
      </c>
      <c r="J48" s="365"/>
      <c r="K48" s="374">
        <v>10000</v>
      </c>
      <c r="L48" s="368"/>
      <c r="M48" s="369"/>
      <c r="N48" s="368"/>
      <c r="O48" s="350"/>
    </row>
    <row r="49" spans="1:15" ht="22.5" x14ac:dyDescent="0.2">
      <c r="A49" s="282">
        <f>'PRES. TOTAL CALENARIZADA 2013'!A52</f>
        <v>2561</v>
      </c>
      <c r="B49" s="283" t="str">
        <f>'PRES. TOTAL CALENARIZADA 2013'!C52</f>
        <v>Fibras sintéticas, hules, plasticos y derivados</v>
      </c>
      <c r="C49" s="284">
        <f>'PRES. TOTAL CALENARIZADA 2013'!D52-K49</f>
        <v>18000</v>
      </c>
      <c r="D49" s="352"/>
      <c r="E49" s="290">
        <f>ELECTROMECANICA!E52+ALIMENTARIAS!E52+'INOVACION AGRICOLA'!E52+'SERVICIOS ESCOLARES'!E52+'DESARROLLO ACADEMICO'!E52+VINCULACIÓN!E52+PLANEACION!E52+CALIDAD!E52+'ADMON REC'!E52</f>
        <v>9000</v>
      </c>
      <c r="F49" s="291">
        <f>ELECTROMECANICA!F52+ALIMENTARIAS!F52+'INOVACION AGRICOLA'!F52+'SERVICIOS ESCOLARES'!F52+'DESARROLLO ACADEMICO'!F52+VINCULACIÓN!F52+PLANEACION!F52+CALIDAD!F52+'ADMON REC'!F52</f>
        <v>9000</v>
      </c>
      <c r="G49" s="291">
        <f>ELECTROMECANICA!G52+ALIMENTARIAS!G52+'INOVACION AGRICOLA'!G52+'SERVICIOS ESCOLARES'!G52+'DESARROLLO ACADEMICO'!G52+VINCULACIÓN!G52+PLANEACION!G52+CALIDAD!G52+'ADMON REC'!G52</f>
        <v>0</v>
      </c>
      <c r="H49" s="291">
        <f>ELECTROMECANICA!H52+ALIMENTARIAS!H52+'INOVACION AGRICOLA'!H52+'SERVICIOS ESCOLARES'!H52+'DESARROLLO ACADEMICO'!H52+VINCULACIÓN!H52+PLANEACION!H52+CALIDAD!H52+'ADMON REC'!H52</f>
        <v>20000</v>
      </c>
      <c r="I49" s="284">
        <f>ALIMENTARIAS!I52</f>
        <v>0</v>
      </c>
      <c r="J49" s="365"/>
      <c r="K49" s="374">
        <v>20000</v>
      </c>
      <c r="L49" s="368"/>
      <c r="M49" s="369"/>
      <c r="N49" s="368"/>
      <c r="O49" s="350"/>
    </row>
    <row r="50" spans="1:15" x14ac:dyDescent="0.2">
      <c r="A50" s="282">
        <f>'PRES. TOTAL CALENARIZADA 2013'!A53</f>
        <v>2591</v>
      </c>
      <c r="B50" s="283" t="str">
        <f>'PRES. TOTAL CALENARIZADA 2013'!C53</f>
        <v>Otros productos químicos</v>
      </c>
      <c r="C50" s="284">
        <f>'PRES. TOTAL CALENARIZADA 2013'!D53-K50</f>
        <v>44422.26</v>
      </c>
      <c r="D50" s="352"/>
      <c r="E50" s="290">
        <f>ELECTROMECANICA!E53+ALIMENTARIAS!E53+'INOVACION AGRICOLA'!E53+'SERVICIOS ESCOLARES'!E53+'DESARROLLO ACADEMICO'!E53+VINCULACIÓN!E53+PLANEACION!E53+CALIDAD!E53+'ADMON REC'!E53</f>
        <v>20000</v>
      </c>
      <c r="F50" s="291">
        <f>ELECTROMECANICA!F53+ALIMENTARIAS!F53+'INOVACION AGRICOLA'!F53+'SERVICIOS ESCOLARES'!F53+'DESARROLLO ACADEMICO'!F53+VINCULACIÓN!F53+PLANEACION!F53+CALIDAD!F53+'ADMON REC'!F53</f>
        <v>20000</v>
      </c>
      <c r="G50" s="291">
        <f>ELECTROMECANICA!G53+ALIMENTARIAS!G53+'INOVACION AGRICOLA'!G53+'SERVICIOS ESCOLARES'!G53+'DESARROLLO ACADEMICO'!G53+VINCULACIÓN!G53+PLANEACION!G53+CALIDAD!G53+'ADMON REC'!G53</f>
        <v>0</v>
      </c>
      <c r="H50" s="291">
        <f>ELECTROMECANICA!H53+ALIMENTARIAS!H53+'INOVACION AGRICOLA'!H53+'SERVICIOS ESCOLARES'!H53+'DESARROLLO ACADEMICO'!H53+VINCULACIÓN!H53+PLANEACION!H53+CALIDAD!H53+'ADMON REC'!H53</f>
        <v>0</v>
      </c>
      <c r="I50" s="284">
        <f>ALIMENTARIAS!I53</f>
        <v>4422.26</v>
      </c>
      <c r="J50" s="365"/>
      <c r="K50" s="374"/>
      <c r="L50" s="368"/>
      <c r="M50" s="369"/>
      <c r="N50" s="368"/>
      <c r="O50" s="350"/>
    </row>
    <row r="51" spans="1:15" x14ac:dyDescent="0.2">
      <c r="A51" s="282">
        <f>'PRES. TOTAL CALENARIZADA 2013'!A54</f>
        <v>2611</v>
      </c>
      <c r="B51" s="283" t="str">
        <f>'PRES. TOTAL CALENARIZADA 2013'!C54</f>
        <v>Combustibles</v>
      </c>
      <c r="C51" s="284">
        <f>'PRES. TOTAL CALENARIZADA 2013'!D54-K51</f>
        <v>182000</v>
      </c>
      <c r="D51" s="352"/>
      <c r="E51" s="290">
        <f>ELECTROMECANICA!E54+ALIMENTARIAS!E54+'INOVACION AGRICOLA'!E54+'SERVICIOS ESCOLARES'!E54+'DESARROLLO ACADEMICO'!E54+VINCULACIÓN!E54+PLANEACION!E54+CALIDAD!E54+'ADMON REC'!E54</f>
        <v>62000</v>
      </c>
      <c r="F51" s="291">
        <f>ELECTROMECANICA!F54+ALIMENTARIAS!F54+'INOVACION AGRICOLA'!F54+'SERVICIOS ESCOLARES'!F54+'DESARROLLO ACADEMICO'!F54+VINCULACIÓN!F54+PLANEACION!F54+CALIDAD!F54+'ADMON REC'!F54</f>
        <v>62000</v>
      </c>
      <c r="G51" s="291">
        <f>ELECTROMECANICA!G54+ALIMENTARIAS!G54+'INOVACION AGRICOLA'!G54+'SERVICIOS ESCOLARES'!G54+'DESARROLLO ACADEMICO'!G54+VINCULACIÓN!G54+PLANEACION!G54+CALIDAD!G54+'ADMON REC'!G54</f>
        <v>58000</v>
      </c>
      <c r="H51" s="291">
        <f>ELECTROMECANICA!H54+ALIMENTARIAS!H54+'INOVACION AGRICOLA'!H54+'SERVICIOS ESCOLARES'!H54+'DESARROLLO ACADEMICO'!H54+VINCULACIÓN!H54+PLANEACION!H54+CALIDAD!H54+'ADMON REC'!H54</f>
        <v>20000</v>
      </c>
      <c r="I51" s="284">
        <f>ALIMENTARIAS!I54</f>
        <v>0</v>
      </c>
      <c r="J51" s="365"/>
      <c r="K51" s="374">
        <v>20000</v>
      </c>
      <c r="L51" s="368"/>
      <c r="M51" s="369"/>
      <c r="N51" s="368"/>
      <c r="O51" s="350"/>
    </row>
    <row r="52" spans="1:15" x14ac:dyDescent="0.2">
      <c r="A52" s="282">
        <f>'PRES. TOTAL CALENARIZADA 2013'!A55</f>
        <v>2612</v>
      </c>
      <c r="B52" s="283" t="str">
        <f>'PRES. TOTAL CALENARIZADA 2013'!C55</f>
        <v>Lubricantes y aditivos</v>
      </c>
      <c r="C52" s="284">
        <f>'PRES. TOTAL CALENARIZADA 2013'!D55-K52</f>
        <v>11000</v>
      </c>
      <c r="D52" s="352"/>
      <c r="E52" s="290">
        <f>ELECTROMECANICA!E55+ALIMENTARIAS!E55+'INOVACION AGRICOLA'!E55+'SERVICIOS ESCOLARES'!E55+'DESARROLLO ACADEMICO'!E55+VINCULACIÓN!E55+PLANEACION!E55+CALIDAD!E55+'ADMON REC'!E55</f>
        <v>5500</v>
      </c>
      <c r="F52" s="291">
        <f>ELECTROMECANICA!F55+ALIMENTARIAS!F55+'INOVACION AGRICOLA'!F55+'SERVICIOS ESCOLARES'!F55+'DESARROLLO ACADEMICO'!F55+VINCULACIÓN!F55+PLANEACION!F55+CALIDAD!F55+'ADMON REC'!F55</f>
        <v>5500</v>
      </c>
      <c r="G52" s="291">
        <f>ELECTROMECANICA!G55+ALIMENTARIAS!G55+'INOVACION AGRICOLA'!G55+'SERVICIOS ESCOLARES'!G55+'DESARROLLO ACADEMICO'!G55+VINCULACIÓN!G55+PLANEACION!G55+CALIDAD!G55+'ADMON REC'!G55</f>
        <v>0</v>
      </c>
      <c r="H52" s="291">
        <f>ELECTROMECANICA!H55+ALIMENTARIAS!H55+'INOVACION AGRICOLA'!H55+'SERVICIOS ESCOLARES'!H55+'DESARROLLO ACADEMICO'!H55+VINCULACIÓN!H55+PLANEACION!H55+CALIDAD!H55+'ADMON REC'!H55</f>
        <v>0</v>
      </c>
      <c r="I52" s="284">
        <f>ALIMENTARIAS!I55</f>
        <v>0</v>
      </c>
      <c r="J52" s="365"/>
      <c r="K52" s="374"/>
      <c r="L52" s="368"/>
      <c r="M52" s="369"/>
      <c r="N52" s="368"/>
      <c r="O52" s="350"/>
    </row>
    <row r="53" spans="1:15" x14ac:dyDescent="0.2">
      <c r="A53" s="282">
        <f>'PRES. TOTAL CALENARIZADA 2013'!A56</f>
        <v>2711</v>
      </c>
      <c r="B53" s="283" t="str">
        <f>'PRES. TOTAL CALENARIZADA 2013'!C56</f>
        <v>Vestuario y uniformes</v>
      </c>
      <c r="C53" s="284">
        <f>'PRES. TOTAL CALENARIZADA 2013'!D56-K53</f>
        <v>6000</v>
      </c>
      <c r="D53" s="352"/>
      <c r="E53" s="290">
        <f>ELECTROMECANICA!E56+ALIMENTARIAS!E56+'INOVACION AGRICOLA'!E56+'SERVICIOS ESCOLARES'!E56+'DESARROLLO ACADEMICO'!E56+VINCULACIÓN!E56+PLANEACION!E56+CALIDAD!E56+'ADMON REC'!E56</f>
        <v>3000</v>
      </c>
      <c r="F53" s="291">
        <f>ELECTROMECANICA!F56+ALIMENTARIAS!F56+'INOVACION AGRICOLA'!F56+'SERVICIOS ESCOLARES'!F56+'DESARROLLO ACADEMICO'!F56+VINCULACIÓN!F56+PLANEACION!F56+CALIDAD!F56+'ADMON REC'!F56</f>
        <v>3000</v>
      </c>
      <c r="G53" s="291">
        <f>ELECTROMECANICA!G56+ALIMENTARIAS!G56+'INOVACION AGRICOLA'!G56+'SERVICIOS ESCOLARES'!G56+'DESARROLLO ACADEMICO'!G56+VINCULACIÓN!G56+PLANEACION!G56+CALIDAD!G56+'ADMON REC'!G56</f>
        <v>0</v>
      </c>
      <c r="H53" s="291">
        <f>ELECTROMECANICA!H56+ALIMENTARIAS!H56+'INOVACION AGRICOLA'!H56+'SERVICIOS ESCOLARES'!H56+'DESARROLLO ACADEMICO'!H56+VINCULACIÓN!H56+PLANEACION!H56+CALIDAD!H56+'ADMON REC'!H56</f>
        <v>0</v>
      </c>
      <c r="I53" s="284">
        <f>ALIMENTARIAS!I56</f>
        <v>0</v>
      </c>
      <c r="J53" s="365"/>
      <c r="K53" s="374"/>
      <c r="L53" s="368"/>
      <c r="M53" s="369"/>
      <c r="N53" s="368"/>
      <c r="O53" s="350"/>
    </row>
    <row r="54" spans="1:15" ht="22.5" x14ac:dyDescent="0.2">
      <c r="A54" s="282">
        <f>'PRES. TOTAL CALENARIZADA 2013'!A57</f>
        <v>2721</v>
      </c>
      <c r="B54" s="283" t="str">
        <f>'PRES. TOTAL CALENARIZADA 2013'!C57</f>
        <v>Prendas de seguridad y protección personal</v>
      </c>
      <c r="C54" s="284">
        <f>'PRES. TOTAL CALENARIZADA 2013'!D57-K54</f>
        <v>12000</v>
      </c>
      <c r="D54" s="352"/>
      <c r="E54" s="290">
        <f>ELECTROMECANICA!E57+ALIMENTARIAS!E57+'INOVACION AGRICOLA'!E57+'SERVICIOS ESCOLARES'!E57+'DESARROLLO ACADEMICO'!E57+VINCULACIÓN!E57+PLANEACION!E57+CALIDAD!E57+'ADMON REC'!E57</f>
        <v>6000</v>
      </c>
      <c r="F54" s="291">
        <f>ELECTROMECANICA!F57+ALIMENTARIAS!F57+'INOVACION AGRICOLA'!F57+'SERVICIOS ESCOLARES'!F57+'DESARROLLO ACADEMICO'!F57+VINCULACIÓN!F57+PLANEACION!F57+CALIDAD!F57+'ADMON REC'!F57</f>
        <v>6000</v>
      </c>
      <c r="G54" s="291">
        <f>ELECTROMECANICA!G57+ALIMENTARIAS!G57+'INOVACION AGRICOLA'!G57+'SERVICIOS ESCOLARES'!G57+'DESARROLLO ACADEMICO'!G57+VINCULACIÓN!G57+PLANEACION!G57+CALIDAD!G57+'ADMON REC'!G57</f>
        <v>0</v>
      </c>
      <c r="H54" s="291">
        <f>ELECTROMECANICA!H57+ALIMENTARIAS!H57+'INOVACION AGRICOLA'!H57+'SERVICIOS ESCOLARES'!H57+'DESARROLLO ACADEMICO'!H57+VINCULACIÓN!H57+PLANEACION!H57+CALIDAD!H57+'ADMON REC'!H57</f>
        <v>0</v>
      </c>
      <c r="I54" s="284">
        <f>ALIMENTARIAS!I57</f>
        <v>0</v>
      </c>
      <c r="J54" s="365"/>
      <c r="K54" s="374"/>
      <c r="L54" s="368"/>
      <c r="M54" s="369"/>
      <c r="N54" s="368"/>
      <c r="O54" s="350"/>
    </row>
    <row r="55" spans="1:15" x14ac:dyDescent="0.2">
      <c r="A55" s="282">
        <f>'PRES. TOTAL CALENARIZADA 2013'!A58</f>
        <v>2731</v>
      </c>
      <c r="B55" s="283" t="str">
        <f>'PRES. TOTAL CALENARIZADA 2013'!C58</f>
        <v>Artículos deportivos</v>
      </c>
      <c r="C55" s="284">
        <f>'PRES. TOTAL CALENARIZADA 2013'!D58-K55</f>
        <v>10000</v>
      </c>
      <c r="D55" s="352"/>
      <c r="E55" s="290">
        <f>ELECTROMECANICA!E58+ALIMENTARIAS!E58+'INOVACION AGRICOLA'!E58+'SERVICIOS ESCOLARES'!E58+'DESARROLLO ACADEMICO'!E58+VINCULACIÓN!E58+PLANEACION!E58+CALIDAD!E58+'ADMON REC'!E58</f>
        <v>5000</v>
      </c>
      <c r="F55" s="291">
        <f>ELECTROMECANICA!F58+ALIMENTARIAS!F58+'INOVACION AGRICOLA'!F58+'SERVICIOS ESCOLARES'!F58+'DESARROLLO ACADEMICO'!F58+VINCULACIÓN!F58+PLANEACION!F58+CALIDAD!F58+'ADMON REC'!F58</f>
        <v>5000</v>
      </c>
      <c r="G55" s="291">
        <f>ELECTROMECANICA!G58+ALIMENTARIAS!G58+'INOVACION AGRICOLA'!G58+'SERVICIOS ESCOLARES'!G58+'DESARROLLO ACADEMICO'!G58+VINCULACIÓN!G58+PLANEACION!G58+CALIDAD!G58+'ADMON REC'!G58</f>
        <v>0</v>
      </c>
      <c r="H55" s="291">
        <f>ELECTROMECANICA!H58+ALIMENTARIAS!H58+'INOVACION AGRICOLA'!H58+'SERVICIOS ESCOLARES'!H58+'DESARROLLO ACADEMICO'!H58+VINCULACIÓN!H58+PLANEACION!H58+CALIDAD!H58+'ADMON REC'!H58</f>
        <v>0</v>
      </c>
      <c r="I55" s="284">
        <f>ALIMENTARIAS!I58</f>
        <v>0</v>
      </c>
      <c r="J55" s="365"/>
      <c r="K55" s="374"/>
      <c r="L55" s="368"/>
      <c r="M55" s="369"/>
      <c r="N55" s="368"/>
      <c r="O55" s="350"/>
    </row>
    <row r="56" spans="1:15" x14ac:dyDescent="0.2">
      <c r="A56" s="282">
        <f>'PRES. TOTAL CALENARIZADA 2013'!A59</f>
        <v>2911</v>
      </c>
      <c r="B56" s="283" t="str">
        <f>'PRES. TOTAL CALENARIZADA 2013'!C59</f>
        <v>Herramientas menores</v>
      </c>
      <c r="C56" s="284">
        <f>'PRES. TOTAL CALENARIZADA 2013'!D59-K56</f>
        <v>20000</v>
      </c>
      <c r="D56" s="352"/>
      <c r="E56" s="290">
        <f>ELECTROMECANICA!E59+ALIMENTARIAS!E59+'INOVACION AGRICOLA'!E59+'SERVICIOS ESCOLARES'!E59+'DESARROLLO ACADEMICO'!E59+VINCULACIÓN!E59+PLANEACION!E59+CALIDAD!E59+'ADMON REC'!E59</f>
        <v>10000</v>
      </c>
      <c r="F56" s="291">
        <f>ELECTROMECANICA!F59+ALIMENTARIAS!F59+'INOVACION AGRICOLA'!F59+'SERVICIOS ESCOLARES'!F59+'DESARROLLO ACADEMICO'!F59+VINCULACIÓN!F59+PLANEACION!F59+CALIDAD!F59+'ADMON REC'!F59</f>
        <v>10000</v>
      </c>
      <c r="G56" s="291">
        <f>ELECTROMECANICA!G59+ALIMENTARIAS!G59+'INOVACION AGRICOLA'!G59+'SERVICIOS ESCOLARES'!G59+'DESARROLLO ACADEMICO'!G59+VINCULACIÓN!G59+PLANEACION!G59+CALIDAD!G59+'ADMON REC'!G59</f>
        <v>0</v>
      </c>
      <c r="H56" s="291">
        <f>ELECTROMECANICA!H59+ALIMENTARIAS!H59+'INOVACION AGRICOLA'!H59+'SERVICIOS ESCOLARES'!H59+'DESARROLLO ACADEMICO'!H59+VINCULACIÓN!H59+PLANEACION!H59+CALIDAD!H59+'ADMON REC'!H59</f>
        <v>20000</v>
      </c>
      <c r="I56" s="284">
        <f>ALIMENTARIAS!I59</f>
        <v>0</v>
      </c>
      <c r="J56" s="365"/>
      <c r="K56" s="374">
        <v>20000</v>
      </c>
      <c r="L56" s="368"/>
      <c r="M56" s="369"/>
      <c r="N56" s="368"/>
      <c r="O56" s="350"/>
    </row>
    <row r="57" spans="1:15" ht="13.5" customHeight="1" x14ac:dyDescent="0.2">
      <c r="A57" s="282">
        <f>'PRES. TOTAL CALENARIZADA 2013'!A60</f>
        <v>2921</v>
      </c>
      <c r="B57" s="283" t="str">
        <f>'PRES. TOTAL CALENARIZADA 2013'!C60</f>
        <v>Refacciones y accesorios menores de edificios</v>
      </c>
      <c r="C57" s="284">
        <f>'PRES. TOTAL CALENARIZADA 2013'!D60-K57</f>
        <v>23000</v>
      </c>
      <c r="D57" s="352"/>
      <c r="E57" s="290">
        <f>ELECTROMECANICA!E60+ALIMENTARIAS!E60+'INOVACION AGRICOLA'!E60+'SERVICIOS ESCOLARES'!E60+'DESARROLLO ACADEMICO'!E60+VINCULACIÓN!E60+PLANEACION!E60+CALIDAD!E60+'ADMON REC'!E60</f>
        <v>4000</v>
      </c>
      <c r="F57" s="291">
        <f>ELECTROMECANICA!F60+ALIMENTARIAS!F60+'INOVACION AGRICOLA'!F60+'SERVICIOS ESCOLARES'!F60+'DESARROLLO ACADEMICO'!F60+VINCULACIÓN!F60+PLANEACION!F60+CALIDAD!F60+'ADMON REC'!F60</f>
        <v>4000</v>
      </c>
      <c r="G57" s="291">
        <f>ELECTROMECANICA!G60+ALIMENTARIAS!G60+'INOVACION AGRICOLA'!G60+'SERVICIOS ESCOLARES'!G60+'DESARROLLO ACADEMICO'!G60+VINCULACIÓN!G60+PLANEACION!G60+CALIDAD!G60+'ADMON REC'!G60</f>
        <v>0</v>
      </c>
      <c r="H57" s="291">
        <f>ELECTROMECANICA!H60+ALIMENTARIAS!H60+'INOVACION AGRICOLA'!H60+'SERVICIOS ESCOLARES'!H60+'DESARROLLO ACADEMICO'!H60+VINCULACIÓN!H60+PLANEACION!H60+CALIDAD!H60+'ADMON REC'!H60</f>
        <v>15000</v>
      </c>
      <c r="I57" s="284">
        <f>ALIMENTARIAS!I60</f>
        <v>0</v>
      </c>
      <c r="J57" s="365"/>
      <c r="K57" s="374"/>
      <c r="L57" s="368"/>
      <c r="M57" s="369"/>
      <c r="N57" s="368"/>
      <c r="O57" s="350"/>
    </row>
    <row r="58" spans="1:15" ht="33.75" x14ac:dyDescent="0.2">
      <c r="A58" s="282">
        <f>'PRES. TOTAL CALENARIZADA 2013'!A61</f>
        <v>2931</v>
      </c>
      <c r="B58" s="283" t="str">
        <f>'PRES. TOTAL CALENARIZADA 2013'!C61</f>
        <v>Refacciones y accesorios menores de mobiliario y equipo de administración, educacional y recreativo</v>
      </c>
      <c r="C58" s="284">
        <f>'PRES. TOTAL CALENARIZADA 2013'!D61-K58</f>
        <v>3000</v>
      </c>
      <c r="D58" s="352"/>
      <c r="E58" s="290">
        <f>ELECTROMECANICA!E61+ALIMENTARIAS!E61+'INOVACION AGRICOLA'!E61+'SERVICIOS ESCOLARES'!E61+'DESARROLLO ACADEMICO'!E61+VINCULACIÓN!E61+PLANEACION!E61+CALIDAD!E61+'ADMON REC'!E61</f>
        <v>1500</v>
      </c>
      <c r="F58" s="291">
        <f>ELECTROMECANICA!F61+ALIMENTARIAS!F61+'INOVACION AGRICOLA'!F61+'SERVICIOS ESCOLARES'!F61+'DESARROLLO ACADEMICO'!F61+VINCULACIÓN!F61+PLANEACION!F61+CALIDAD!F61+'ADMON REC'!F61</f>
        <v>1500</v>
      </c>
      <c r="G58" s="291">
        <f>ELECTROMECANICA!G61+ALIMENTARIAS!G61+'INOVACION AGRICOLA'!G61+'SERVICIOS ESCOLARES'!G61+'DESARROLLO ACADEMICO'!G61+VINCULACIÓN!G61+PLANEACION!G61+CALIDAD!G61+'ADMON REC'!G61</f>
        <v>0</v>
      </c>
      <c r="H58" s="291">
        <f>ELECTROMECANICA!H61+ALIMENTARIAS!H61+'INOVACION AGRICOLA'!H61+'SERVICIOS ESCOLARES'!H61+'DESARROLLO ACADEMICO'!H61+VINCULACIÓN!H61+PLANEACION!H61+CALIDAD!H61+'ADMON REC'!H61</f>
        <v>0</v>
      </c>
      <c r="I58" s="284">
        <f>ALIMENTARIAS!I61</f>
        <v>0</v>
      </c>
      <c r="J58" s="365"/>
      <c r="K58" s="374"/>
      <c r="L58" s="368"/>
      <c r="M58" s="369"/>
      <c r="N58" s="368"/>
      <c r="O58" s="350"/>
    </row>
    <row r="59" spans="1:15" ht="33.75" x14ac:dyDescent="0.2">
      <c r="A59" s="282">
        <f>'PRES. TOTAL CALENARIZADA 2013'!A62</f>
        <v>2941</v>
      </c>
      <c r="B59" s="283" t="str">
        <f>'PRES. TOTAL CALENARIZADA 2013'!C62</f>
        <v>Refacciones y accesorios menores de equipo de computo y tecnologías de información</v>
      </c>
      <c r="C59" s="284">
        <f>'PRES. TOTAL CALENARIZADA 2013'!D62-K59</f>
        <v>4000</v>
      </c>
      <c r="D59" s="352"/>
      <c r="E59" s="290">
        <f>ELECTROMECANICA!E62+ALIMENTARIAS!E62+'INOVACION AGRICOLA'!E62+'SERVICIOS ESCOLARES'!E62+'DESARROLLO ACADEMICO'!E62+VINCULACIÓN!E62+PLANEACION!E62+CALIDAD!E62+'ADMON REC'!E62</f>
        <v>2000</v>
      </c>
      <c r="F59" s="291">
        <f>ELECTROMECANICA!F62+ALIMENTARIAS!F62+'INOVACION AGRICOLA'!F62+'SERVICIOS ESCOLARES'!F62+'DESARROLLO ACADEMICO'!F62+VINCULACIÓN!F62+PLANEACION!F62+CALIDAD!F62+'ADMON REC'!F62</f>
        <v>2000</v>
      </c>
      <c r="G59" s="291">
        <f>ELECTROMECANICA!G62+ALIMENTARIAS!G62+'INOVACION AGRICOLA'!G62+'SERVICIOS ESCOLARES'!G62+'DESARROLLO ACADEMICO'!G62+VINCULACIÓN!G62+PLANEACION!G62+CALIDAD!G62+'ADMON REC'!G62</f>
        <v>0</v>
      </c>
      <c r="H59" s="291">
        <f>ELECTROMECANICA!H62+ALIMENTARIAS!H62+'INOVACION AGRICOLA'!H62+'SERVICIOS ESCOLARES'!H62+'DESARROLLO ACADEMICO'!H62+VINCULACIÓN!H62+PLANEACION!H62+CALIDAD!H62+'ADMON REC'!H62</f>
        <v>0</v>
      </c>
      <c r="I59" s="284">
        <f>ALIMENTARIAS!I62</f>
        <v>0</v>
      </c>
      <c r="J59" s="365"/>
      <c r="K59" s="374"/>
      <c r="L59" s="368"/>
      <c r="M59" s="369"/>
      <c r="N59" s="368"/>
      <c r="O59" s="350"/>
    </row>
    <row r="60" spans="1:15" ht="33.75" x14ac:dyDescent="0.2">
      <c r="A60" s="282">
        <f>'PRES. TOTAL CALENARIZADA 2013'!A63</f>
        <v>2951</v>
      </c>
      <c r="B60" s="283" t="str">
        <f>'PRES. TOTAL CALENARIZADA 2013'!C63</f>
        <v>Refacciones y accesorios menores de equipo e instrumental medico y de laboratorio</v>
      </c>
      <c r="C60" s="284">
        <f>'PRES. TOTAL CALENARIZADA 2013'!D63-K60</f>
        <v>36000</v>
      </c>
      <c r="D60" s="352"/>
      <c r="E60" s="290">
        <f>ELECTROMECANICA!E63+ALIMENTARIAS!E63+'INOVACION AGRICOLA'!E63+'SERVICIOS ESCOLARES'!E63+'DESARROLLO ACADEMICO'!E63+VINCULACIÓN!E63+PLANEACION!E63+CALIDAD!E63+'ADMON REC'!E63</f>
        <v>18000</v>
      </c>
      <c r="F60" s="291">
        <f>ELECTROMECANICA!F63+ALIMENTARIAS!F63+'INOVACION AGRICOLA'!F63+'SERVICIOS ESCOLARES'!F63+'DESARROLLO ACADEMICO'!F63+VINCULACIÓN!F63+PLANEACION!F63+CALIDAD!F63+'ADMON REC'!F63</f>
        <v>18000</v>
      </c>
      <c r="G60" s="291">
        <f>ELECTROMECANICA!G63+ALIMENTARIAS!G63+'INOVACION AGRICOLA'!G63+'SERVICIOS ESCOLARES'!G63+'DESARROLLO ACADEMICO'!G63+VINCULACIÓN!G63+PLANEACION!G63+CALIDAD!G63+'ADMON REC'!G63</f>
        <v>0</v>
      </c>
      <c r="H60" s="291">
        <f>ELECTROMECANICA!H63+ALIMENTARIAS!H63+'INOVACION AGRICOLA'!H63+'SERVICIOS ESCOLARES'!H63+'DESARROLLO ACADEMICO'!H63+VINCULACIÓN!H63+PLANEACION!H63+CALIDAD!H63+'ADMON REC'!H63</f>
        <v>0</v>
      </c>
      <c r="I60" s="284">
        <f>ALIMENTARIAS!I63</f>
        <v>0</v>
      </c>
      <c r="J60" s="365"/>
      <c r="K60" s="374"/>
      <c r="L60" s="368"/>
      <c r="M60" s="369"/>
      <c r="N60" s="368"/>
      <c r="O60" s="350"/>
    </row>
    <row r="61" spans="1:15" ht="22.5" x14ac:dyDescent="0.2">
      <c r="A61" s="282">
        <f>'PRES. TOTAL CALENARIZADA 2013'!A64</f>
        <v>2961</v>
      </c>
      <c r="B61" s="283" t="str">
        <f>'PRES. TOTAL CALENARIZADA 2013'!C64</f>
        <v>Refacciones y accesorios menores de equipo de transporte</v>
      </c>
      <c r="C61" s="284">
        <f>'PRES. TOTAL CALENARIZADA 2013'!D64-K61</f>
        <v>50000</v>
      </c>
      <c r="D61" s="352"/>
      <c r="E61" s="290">
        <f>ELECTROMECANICA!E64+ALIMENTARIAS!E64+'INOVACION AGRICOLA'!E64+'SERVICIOS ESCOLARES'!E64+'DESARROLLO ACADEMICO'!E64+VINCULACIÓN!E64+PLANEACION!E64+CALIDAD!E64+'ADMON REC'!E64</f>
        <v>25000</v>
      </c>
      <c r="F61" s="291">
        <f>ELECTROMECANICA!F64+ALIMENTARIAS!F64+'INOVACION AGRICOLA'!F64+'SERVICIOS ESCOLARES'!F64+'DESARROLLO ACADEMICO'!F64+VINCULACIÓN!F64+PLANEACION!F64+CALIDAD!F64+'ADMON REC'!F64</f>
        <v>25000</v>
      </c>
      <c r="G61" s="291">
        <f>ELECTROMECANICA!G64+ALIMENTARIAS!G64+'INOVACION AGRICOLA'!G64+'SERVICIOS ESCOLARES'!G64+'DESARROLLO ACADEMICO'!G64+VINCULACIÓN!G64+PLANEACION!G64+CALIDAD!G64+'ADMON REC'!G64</f>
        <v>0</v>
      </c>
      <c r="H61" s="291">
        <f>ELECTROMECANICA!H64+ALIMENTARIAS!H64+'INOVACION AGRICOLA'!H64+'SERVICIOS ESCOLARES'!H64+'DESARROLLO ACADEMICO'!H64+VINCULACIÓN!H64+PLANEACION!H64+CALIDAD!H64+'ADMON REC'!H64</f>
        <v>0</v>
      </c>
      <c r="I61" s="284">
        <f>ALIMENTARIAS!I64</f>
        <v>0</v>
      </c>
      <c r="J61" s="365"/>
      <c r="K61" s="374"/>
      <c r="L61" s="368"/>
      <c r="M61" s="369"/>
      <c r="N61" s="368"/>
      <c r="O61" s="350"/>
    </row>
    <row r="62" spans="1:15" ht="22.5" x14ac:dyDescent="0.2">
      <c r="A62" s="282">
        <f>'PRES. TOTAL CALENARIZADA 2013'!A65</f>
        <v>2981</v>
      </c>
      <c r="B62" s="283" t="str">
        <f>'PRES. TOTAL CALENARIZADA 2013'!C65</f>
        <v>Refacciones y accesorios menores de maquinaria y otros equipos</v>
      </c>
      <c r="C62" s="284">
        <f>'PRES. TOTAL CALENARIZADA 2013'!D65-K62</f>
        <v>3000</v>
      </c>
      <c r="D62" s="352"/>
      <c r="E62" s="290">
        <f>ELECTROMECANICA!E65+ALIMENTARIAS!E65+'INOVACION AGRICOLA'!E65+'SERVICIOS ESCOLARES'!E65+'DESARROLLO ACADEMICO'!E65+VINCULACIÓN!E65+PLANEACION!E65+CALIDAD!E65+'ADMON REC'!E65</f>
        <v>1500</v>
      </c>
      <c r="F62" s="291">
        <f>ELECTROMECANICA!F65+ALIMENTARIAS!F65+'INOVACION AGRICOLA'!F65+'SERVICIOS ESCOLARES'!F65+'DESARROLLO ACADEMICO'!F65+VINCULACIÓN!F65+PLANEACION!F65+CALIDAD!F65+'ADMON REC'!F65</f>
        <v>1500</v>
      </c>
      <c r="G62" s="291">
        <f>ELECTROMECANICA!G65+ALIMENTARIAS!G65+'INOVACION AGRICOLA'!G65+'SERVICIOS ESCOLARES'!G65+'DESARROLLO ACADEMICO'!G65+VINCULACIÓN!G65+PLANEACION!G65+CALIDAD!G65+'ADMON REC'!G65</f>
        <v>0</v>
      </c>
      <c r="H62" s="291">
        <f>ELECTROMECANICA!H65+ALIMENTARIAS!H65+'INOVACION AGRICOLA'!H65+'SERVICIOS ESCOLARES'!H65+'DESARROLLO ACADEMICO'!H65+VINCULACIÓN!H65+PLANEACION!H65+CALIDAD!H65+'ADMON REC'!H65</f>
        <v>0</v>
      </c>
      <c r="I62" s="284">
        <f>ALIMENTARIAS!I65</f>
        <v>0</v>
      </c>
      <c r="J62" s="365"/>
      <c r="K62" s="374"/>
      <c r="L62" s="368"/>
      <c r="M62" s="369"/>
      <c r="N62" s="368"/>
      <c r="O62" s="350"/>
    </row>
    <row r="63" spans="1:15" ht="23.25" thickBot="1" x14ac:dyDescent="0.25">
      <c r="A63" s="285">
        <f>'PRES. TOTAL CALENARIZADA 2013'!A66</f>
        <v>2991</v>
      </c>
      <c r="B63" s="286" t="str">
        <f>'PRES. TOTAL CALENARIZADA 2013'!C66</f>
        <v>Refacciones y accesorios menores otros bienes muebles</v>
      </c>
      <c r="C63" s="287">
        <f>'PRES. TOTAL CALENARIZADA 2013'!D66-K63</f>
        <v>6000</v>
      </c>
      <c r="D63" s="352"/>
      <c r="E63" s="292">
        <f>ELECTROMECANICA!E66+ALIMENTARIAS!E66+'INOVACION AGRICOLA'!E66+'SERVICIOS ESCOLARES'!E66+'DESARROLLO ACADEMICO'!E66+VINCULACIÓN!E66+PLANEACION!E66+CALIDAD!E66+'ADMON REC'!E66</f>
        <v>1500</v>
      </c>
      <c r="F63" s="293">
        <f>ELECTROMECANICA!F66+ALIMENTARIAS!F66+'INOVACION AGRICOLA'!F66+'SERVICIOS ESCOLARES'!F66+'DESARROLLO ACADEMICO'!F66+VINCULACIÓN!F66+PLANEACION!F66+CALIDAD!F66+'ADMON REC'!F66</f>
        <v>4500</v>
      </c>
      <c r="G63" s="293">
        <f>ELECTROMECANICA!G66+ALIMENTARIAS!G66+'INOVACION AGRICOLA'!G66+'SERVICIOS ESCOLARES'!G66+'DESARROLLO ACADEMICO'!G66+VINCULACIÓN!G66+PLANEACION!G66+CALIDAD!G66+'ADMON REC'!G66</f>
        <v>0</v>
      </c>
      <c r="H63" s="293">
        <f>ELECTROMECANICA!H66+ALIMENTARIAS!H66+'INOVACION AGRICOLA'!H66+'SERVICIOS ESCOLARES'!H66+'DESARROLLO ACADEMICO'!H66+VINCULACIÓN!H66+PLANEACION!H66+CALIDAD!H66+'ADMON REC'!H66</f>
        <v>0</v>
      </c>
      <c r="I63" s="287">
        <f>ALIMENTARIAS!I66</f>
        <v>0</v>
      </c>
      <c r="J63" s="365"/>
      <c r="K63" s="375"/>
      <c r="L63" s="368"/>
      <c r="M63" s="369"/>
      <c r="N63" s="368"/>
      <c r="O63" s="350"/>
    </row>
    <row r="64" spans="1:15" ht="20.25" customHeight="1" thickBot="1" x14ac:dyDescent="0.25">
      <c r="A64" s="382"/>
      <c r="B64" s="383" t="s">
        <v>242</v>
      </c>
      <c r="C64" s="384">
        <f>SUM(C26:C63)</f>
        <v>1206830.98</v>
      </c>
      <c r="D64" s="381"/>
      <c r="E64" s="384">
        <f t="shared" ref="E64:K64" si="1">SUM(E26:E63)</f>
        <v>406424.68</v>
      </c>
      <c r="F64" s="384">
        <f t="shared" si="1"/>
        <v>434200</v>
      </c>
      <c r="G64" s="384">
        <f t="shared" si="1"/>
        <v>68000</v>
      </c>
      <c r="H64" s="384">
        <f t="shared" si="1"/>
        <v>589011.26</v>
      </c>
      <c r="I64" s="384">
        <f t="shared" si="1"/>
        <v>14195.039999999999</v>
      </c>
      <c r="J64" s="300"/>
      <c r="K64" s="384">
        <f t="shared" si="1"/>
        <v>305000</v>
      </c>
      <c r="L64" s="368"/>
      <c r="M64" s="369"/>
      <c r="N64" s="368"/>
      <c r="O64" s="350"/>
    </row>
    <row r="65" spans="1:15" x14ac:dyDescent="0.2">
      <c r="A65" s="294">
        <f>'PRES. TOTAL CALENARIZADA 2013'!A68</f>
        <v>3111</v>
      </c>
      <c r="B65" s="295" t="str">
        <f>'PRES. TOTAL CALENARIZADA 2013'!C68</f>
        <v>Energía Eléctrica</v>
      </c>
      <c r="C65" s="296">
        <f>'PRES. TOTAL CALENARIZADA 2013'!D68-K65</f>
        <v>390000</v>
      </c>
      <c r="D65" s="385"/>
      <c r="E65" s="297">
        <f>ELECTROMECANICA!E68+ALIMENTARIAS!E68+'INOVACION AGRICOLA'!E68+'SERVICIOS ESCOLARES'!E68+'DESARROLLO ACADEMICO'!E68+VINCULACIÓN!E68+PLANEACION!E68+CALIDAD!E68+'ADMON REC'!E68</f>
        <v>143536.95000000001</v>
      </c>
      <c r="F65" s="298">
        <f>ELECTROMECANICA!F68+ALIMENTARIAS!F68+'INOVACION AGRICOLA'!F68+'SERVICIOS ESCOLARES'!F68+'DESARROLLO ACADEMICO'!F68+VINCULACIÓN!F68+PLANEACION!F68+CALIDAD!F68+'ADMON REC'!F68</f>
        <v>180000</v>
      </c>
      <c r="G65" s="298">
        <f>ELECTROMECANICA!G68+ALIMENTARIAS!G68+'INOVACION AGRICOLA'!G68+'SERVICIOS ESCOLARES'!G68+'DESARROLLO ACADEMICO'!G68+VINCULACIÓN!G68+PLANEACION!G68+CALIDAD!G68+'ADMON REC'!G68</f>
        <v>0</v>
      </c>
      <c r="H65" s="298">
        <f>ELECTROMECANICA!H68+ALIMENTARIAS!H68+'INOVACION AGRICOLA'!H68+'SERVICIOS ESCOLARES'!H68+'DESARROLLO ACADEMICO'!H68+VINCULACIÓN!H68+PLANEACION!H68+CALIDAD!H68+'ADMON REC'!H68</f>
        <v>66463.05</v>
      </c>
      <c r="I65" s="296">
        <f>ALIMENTARIAS!I68</f>
        <v>0</v>
      </c>
      <c r="J65" s="365"/>
      <c r="K65" s="373"/>
      <c r="L65" s="368"/>
      <c r="M65" s="369"/>
      <c r="N65" s="368"/>
      <c r="O65" s="350"/>
    </row>
    <row r="66" spans="1:15" x14ac:dyDescent="0.2">
      <c r="A66" s="282">
        <f>'PRES. TOTAL CALENARIZADA 2013'!A69</f>
        <v>3121</v>
      </c>
      <c r="B66" s="283" t="str">
        <f>'PRES. TOTAL CALENARIZADA 2013'!C69</f>
        <v>Gas</v>
      </c>
      <c r="C66" s="284">
        <f>'PRES. TOTAL CALENARIZADA 2013'!D69-K66</f>
        <v>26000</v>
      </c>
      <c r="D66" s="385"/>
      <c r="E66" s="290">
        <f>ELECTROMECANICA!E69+ALIMENTARIAS!E69+'INOVACION AGRICOLA'!E69+'SERVICIOS ESCOLARES'!E69+'DESARROLLO ACADEMICO'!E69+VINCULACIÓN!E69+PLANEACION!E69+CALIDAD!E69+'ADMON REC'!E69</f>
        <v>13000</v>
      </c>
      <c r="F66" s="291">
        <f>ELECTROMECANICA!F69+ALIMENTARIAS!F69+'INOVACION AGRICOLA'!F69+'SERVICIOS ESCOLARES'!F69+'DESARROLLO ACADEMICO'!F69+VINCULACIÓN!F69+PLANEACION!F69+CALIDAD!F69+'ADMON REC'!F69</f>
        <v>13000</v>
      </c>
      <c r="G66" s="291">
        <f>ELECTROMECANICA!G69+ALIMENTARIAS!G69+'INOVACION AGRICOLA'!G69+'SERVICIOS ESCOLARES'!G69+'DESARROLLO ACADEMICO'!G69+VINCULACIÓN!G69+PLANEACION!G69+CALIDAD!G69+'ADMON REC'!G69</f>
        <v>0</v>
      </c>
      <c r="H66" s="291">
        <f>ELECTROMECANICA!H69+ALIMENTARIAS!H69+'INOVACION AGRICOLA'!H69+'SERVICIOS ESCOLARES'!H69+'DESARROLLO ACADEMICO'!H69+VINCULACIÓN!H69+PLANEACION!H69+CALIDAD!H69+'ADMON REC'!H69</f>
        <v>0</v>
      </c>
      <c r="I66" s="284">
        <f>ALIMENTARIAS!I69</f>
        <v>0</v>
      </c>
      <c r="J66" s="365"/>
      <c r="K66" s="374"/>
      <c r="L66" s="368"/>
      <c r="M66" s="369"/>
      <c r="N66" s="368"/>
      <c r="O66" s="350"/>
    </row>
    <row r="67" spans="1:15" x14ac:dyDescent="0.2">
      <c r="A67" s="282">
        <f>'PRES. TOTAL CALENARIZADA 2013'!A70</f>
        <v>3141</v>
      </c>
      <c r="B67" s="283" t="str">
        <f>'PRES. TOTAL CALENARIZADA 2013'!C70</f>
        <v>Telefonía tradicional</v>
      </c>
      <c r="C67" s="284">
        <f>'PRES. TOTAL CALENARIZADA 2013'!D70-K67</f>
        <v>0</v>
      </c>
      <c r="D67" s="385"/>
      <c r="E67" s="290">
        <f>ELECTROMECANICA!E70+ALIMENTARIAS!E70+'INOVACION AGRICOLA'!E70+'SERVICIOS ESCOLARES'!E70+'DESARROLLO ACADEMICO'!E70+VINCULACIÓN!E70+PLANEACION!E70+CALIDAD!E70+'ADMON REC'!E70</f>
        <v>0</v>
      </c>
      <c r="F67" s="291">
        <f>ELECTROMECANICA!F70+ALIMENTARIAS!F70+'INOVACION AGRICOLA'!F70+'SERVICIOS ESCOLARES'!F70+'DESARROLLO ACADEMICO'!F70+VINCULACIÓN!F70+PLANEACION!F70+CALIDAD!F70+'ADMON REC'!F70</f>
        <v>0</v>
      </c>
      <c r="G67" s="291">
        <f>ELECTROMECANICA!G70+ALIMENTARIAS!G70+'INOVACION AGRICOLA'!G70+'SERVICIOS ESCOLARES'!G70+'DESARROLLO ACADEMICO'!G70+VINCULACIÓN!G70+PLANEACION!G70+CALIDAD!G70+'ADMON REC'!G70</f>
        <v>0</v>
      </c>
      <c r="H67" s="291">
        <f>ELECTROMECANICA!H70+ALIMENTARIAS!H70+'INOVACION AGRICOLA'!H70+'SERVICIOS ESCOLARES'!H70+'DESARROLLO ACADEMICO'!H70+VINCULACIÓN!H70+PLANEACION!H70+CALIDAD!H70+'ADMON REC'!H70</f>
        <v>0</v>
      </c>
      <c r="I67" s="284">
        <f>ALIMENTARIAS!I70</f>
        <v>0</v>
      </c>
      <c r="J67" s="365"/>
      <c r="K67" s="374"/>
      <c r="L67" s="368"/>
      <c r="M67" s="369"/>
      <c r="N67" s="368"/>
      <c r="O67" s="350"/>
    </row>
    <row r="68" spans="1:15" x14ac:dyDescent="0.2">
      <c r="A68" s="282">
        <f>'PRES. TOTAL CALENARIZADA 2013'!A71</f>
        <v>3151</v>
      </c>
      <c r="B68" s="283" t="str">
        <f>'PRES. TOTAL CALENARIZADA 2013'!C71</f>
        <v>Telefonía celular</v>
      </c>
      <c r="C68" s="284">
        <f>'PRES. TOTAL CALENARIZADA 2013'!D71-K68</f>
        <v>31200</v>
      </c>
      <c r="D68" s="385"/>
      <c r="E68" s="290">
        <f>ELECTROMECANICA!E71+ALIMENTARIAS!E71+'INOVACION AGRICOLA'!E71+'SERVICIOS ESCOLARES'!E71+'DESARROLLO ACADEMICO'!E71+VINCULACIÓN!E71+PLANEACION!E71+CALIDAD!E71+'ADMON REC'!E71</f>
        <v>15600</v>
      </c>
      <c r="F68" s="291">
        <f>ELECTROMECANICA!F71+ALIMENTARIAS!F71+'INOVACION AGRICOLA'!F71+'SERVICIOS ESCOLARES'!F71+'DESARROLLO ACADEMICO'!F71+VINCULACIÓN!F71+PLANEACION!F71+CALIDAD!F71+'ADMON REC'!F71</f>
        <v>15600</v>
      </c>
      <c r="G68" s="291">
        <f>ELECTROMECANICA!G71+ALIMENTARIAS!G71+'INOVACION AGRICOLA'!G71+'SERVICIOS ESCOLARES'!G71+'DESARROLLO ACADEMICO'!G71+VINCULACIÓN!G71+PLANEACION!G71+CALIDAD!G71+'ADMON REC'!G71</f>
        <v>0</v>
      </c>
      <c r="H68" s="291">
        <f>ELECTROMECANICA!H71+ALIMENTARIAS!H71+'INOVACION AGRICOLA'!H71+'SERVICIOS ESCOLARES'!H71+'DESARROLLO ACADEMICO'!H71+VINCULACIÓN!H71+PLANEACION!H71+CALIDAD!H71+'ADMON REC'!H71</f>
        <v>5000</v>
      </c>
      <c r="I68" s="284">
        <f>ALIMENTARIAS!I71</f>
        <v>0</v>
      </c>
      <c r="J68" s="365"/>
      <c r="K68" s="374">
        <v>5000</v>
      </c>
      <c r="L68" s="368"/>
      <c r="M68" s="369"/>
      <c r="N68" s="368"/>
      <c r="O68" s="350"/>
    </row>
    <row r="69" spans="1:15" ht="22.5" x14ac:dyDescent="0.2">
      <c r="A69" s="282">
        <f>'PRES. TOTAL CALENARIZADA 2013'!A72</f>
        <v>3171</v>
      </c>
      <c r="B69" s="283" t="str">
        <f>'PRES. TOTAL CALENARIZADA 2013'!C72</f>
        <v>Servicios de Acceso de Internet, Redesy Procesamiento de Información</v>
      </c>
      <c r="C69" s="284">
        <f>'PRES. TOTAL CALENARIZADA 2013'!D72-K69</f>
        <v>377973.94</v>
      </c>
      <c r="D69" s="385"/>
      <c r="E69" s="290">
        <f>ELECTROMECANICA!E72+ALIMENTARIAS!E72+'INOVACION AGRICOLA'!E72+'SERVICIOS ESCOLARES'!E72+'DESARROLLO ACADEMICO'!E72+VINCULACIÓN!E72+PLANEACION!E72+CALIDAD!E72+'ADMON REC'!E72</f>
        <v>151218.51</v>
      </c>
      <c r="F69" s="291">
        <f>ELECTROMECANICA!F72+ALIMENTARIAS!F72+'INOVACION AGRICOLA'!F72+'SERVICIOS ESCOLARES'!F72+'DESARROLLO ACADEMICO'!F72+VINCULACIÓN!F72+PLANEACION!F72+CALIDAD!F72+'ADMON REC'!F72</f>
        <v>171755.43</v>
      </c>
      <c r="G69" s="291">
        <f>ELECTROMECANICA!G72+ALIMENTARIAS!G72+'INOVACION AGRICOLA'!G72+'SERVICIOS ESCOLARES'!G72+'DESARROLLO ACADEMICO'!G72+VINCULACIÓN!G72+PLANEACION!G72+CALIDAD!G72+'ADMON REC'!G72</f>
        <v>0</v>
      </c>
      <c r="H69" s="291">
        <f>ELECTROMECANICA!H72+ALIMENTARIAS!H72+'INOVACION AGRICOLA'!H72+'SERVICIOS ESCOLARES'!H72+'DESARROLLO ACADEMICO'!H72+VINCULACIÓN!H72+PLANEACION!H72+CALIDAD!H72+'ADMON REC'!H72</f>
        <v>55000</v>
      </c>
      <c r="I69" s="284">
        <f>ALIMENTARIAS!I72</f>
        <v>0</v>
      </c>
      <c r="J69" s="365"/>
      <c r="K69" s="374"/>
      <c r="L69" s="368"/>
      <c r="M69" s="369"/>
      <c r="N69" s="368"/>
      <c r="O69" s="350"/>
    </row>
    <row r="70" spans="1:15" x14ac:dyDescent="0.2">
      <c r="A70" s="282">
        <f>'PRES. TOTAL CALENARIZADA 2013'!A73</f>
        <v>3181</v>
      </c>
      <c r="B70" s="283" t="str">
        <f>'PRES. TOTAL CALENARIZADA 2013'!C73</f>
        <v>Servicio Postal</v>
      </c>
      <c r="C70" s="284">
        <f>'PRES. TOTAL CALENARIZADA 2013'!D73-K70</f>
        <v>8500</v>
      </c>
      <c r="D70" s="385"/>
      <c r="E70" s="290">
        <f>ELECTROMECANICA!E73+ALIMENTARIAS!E73+'INOVACION AGRICOLA'!E73+'SERVICIOS ESCOLARES'!E73+'DESARROLLO ACADEMICO'!E73+VINCULACIÓN!E73+PLANEACION!E73+CALIDAD!E73+'ADMON REC'!E73</f>
        <v>0</v>
      </c>
      <c r="F70" s="291">
        <f>ELECTROMECANICA!F73+ALIMENTARIAS!F73+'INOVACION AGRICOLA'!F73+'SERVICIOS ESCOLARES'!F73+'DESARROLLO ACADEMICO'!F73+VINCULACIÓN!F73+PLANEACION!F73+CALIDAD!F73+'ADMON REC'!F73</f>
        <v>8500</v>
      </c>
      <c r="G70" s="291">
        <f>ELECTROMECANICA!G73+ALIMENTARIAS!G73+'INOVACION AGRICOLA'!G73+'SERVICIOS ESCOLARES'!G73+'DESARROLLO ACADEMICO'!G73+VINCULACIÓN!G73+PLANEACION!G73+CALIDAD!G73+'ADMON REC'!G73</f>
        <v>0</v>
      </c>
      <c r="H70" s="291">
        <f>ELECTROMECANICA!H73+ALIMENTARIAS!H73+'INOVACION AGRICOLA'!H73+'SERVICIOS ESCOLARES'!H73+'DESARROLLO ACADEMICO'!H73+VINCULACIÓN!H73+PLANEACION!H73+CALIDAD!H73+'ADMON REC'!H73</f>
        <v>20000</v>
      </c>
      <c r="I70" s="284">
        <f>ALIMENTARIAS!I73</f>
        <v>0</v>
      </c>
      <c r="J70" s="365"/>
      <c r="K70" s="374">
        <v>20000</v>
      </c>
      <c r="L70" s="368"/>
      <c r="M70" s="369"/>
      <c r="N70" s="368"/>
      <c r="O70" s="350"/>
    </row>
    <row r="71" spans="1:15" x14ac:dyDescent="0.2">
      <c r="A71" s="282">
        <f>'PRES. TOTAL CALENARIZADA 2013'!A74</f>
        <v>3221</v>
      </c>
      <c r="B71" s="283" t="str">
        <f>'PRES. TOTAL CALENARIZADA 2013'!C74</f>
        <v>Arrendamientos de edificios y locales</v>
      </c>
      <c r="C71" s="284">
        <f>'PRES. TOTAL CALENARIZADA 2013'!D74-K71</f>
        <v>31500</v>
      </c>
      <c r="D71" s="385"/>
      <c r="E71" s="290">
        <f>ELECTROMECANICA!E74+ALIMENTARIAS!E74+'INOVACION AGRICOLA'!E74+'SERVICIOS ESCOLARES'!E74+'DESARROLLO ACADEMICO'!E74+VINCULACIÓN!E74+PLANEACION!E74+CALIDAD!E74+'ADMON REC'!E74</f>
        <v>0</v>
      </c>
      <c r="F71" s="291">
        <f>ELECTROMECANICA!F74+ALIMENTARIAS!F74+'INOVACION AGRICOLA'!F74+'SERVICIOS ESCOLARES'!F74+'DESARROLLO ACADEMICO'!F74+VINCULACIÓN!F74+PLANEACION!F74+CALIDAD!F74+'ADMON REC'!F74</f>
        <v>31500</v>
      </c>
      <c r="G71" s="291">
        <f>ELECTROMECANICA!G74+ALIMENTARIAS!G74+'INOVACION AGRICOLA'!G74+'SERVICIOS ESCOLARES'!G74+'DESARROLLO ACADEMICO'!G74+VINCULACIÓN!G74+PLANEACION!G74+CALIDAD!G74+'ADMON REC'!G74</f>
        <v>0</v>
      </c>
      <c r="H71" s="291">
        <f>ELECTROMECANICA!H74+ALIMENTARIAS!H74+'INOVACION AGRICOLA'!H74+'SERVICIOS ESCOLARES'!H74+'DESARROLLO ACADEMICO'!H74+VINCULACIÓN!H74+PLANEACION!H74+CALIDAD!H74+'ADMON REC'!H74</f>
        <v>0</v>
      </c>
      <c r="I71" s="284">
        <f>ALIMENTARIAS!I74</f>
        <v>0</v>
      </c>
      <c r="J71" s="365"/>
      <c r="K71" s="374"/>
      <c r="L71" s="368"/>
      <c r="M71" s="369"/>
      <c r="N71" s="368"/>
      <c r="O71" s="350"/>
    </row>
    <row r="72" spans="1:15" x14ac:dyDescent="0.2">
      <c r="A72" s="282">
        <f>'PRES. TOTAL CALENARIZADA 2013'!A75</f>
        <v>3231</v>
      </c>
      <c r="B72" s="283" t="str">
        <f>'PRES. TOTAL CALENARIZADA 2013'!C75</f>
        <v>Arrendamiento de mobiliario y equipo</v>
      </c>
      <c r="C72" s="284">
        <f>'PRES. TOTAL CALENARIZADA 2013'!D75-K72</f>
        <v>5000</v>
      </c>
      <c r="D72" s="385"/>
      <c r="E72" s="290">
        <f>ELECTROMECANICA!E75+ALIMENTARIAS!E75+'INOVACION AGRICOLA'!E75+'SERVICIOS ESCOLARES'!E75+'DESARROLLO ACADEMICO'!E75+VINCULACIÓN!E75+PLANEACION!E75+CALIDAD!E75+'ADMON REC'!E75</f>
        <v>0</v>
      </c>
      <c r="F72" s="291">
        <f>ELECTROMECANICA!F75+ALIMENTARIAS!F75+'INOVACION AGRICOLA'!F75+'SERVICIOS ESCOLARES'!F75+'DESARROLLO ACADEMICO'!F75+VINCULACIÓN!F75+PLANEACION!F75+CALIDAD!F75+'ADMON REC'!F75</f>
        <v>0</v>
      </c>
      <c r="G72" s="291">
        <f>ELECTROMECANICA!G75+ALIMENTARIAS!G75+'INOVACION AGRICOLA'!G75+'SERVICIOS ESCOLARES'!G75+'DESARROLLO ACADEMICO'!G75+VINCULACIÓN!G75+PLANEACION!G75+CALIDAD!G75+'ADMON REC'!G75</f>
        <v>0</v>
      </c>
      <c r="H72" s="291">
        <f>ELECTROMECANICA!H75+ALIMENTARIAS!H75+'INOVACION AGRICOLA'!H75+'SERVICIOS ESCOLARES'!H75+'DESARROLLO ACADEMICO'!H75+VINCULACIÓN!H75+PLANEACION!H75+CALIDAD!H75+'ADMON REC'!H75</f>
        <v>5000</v>
      </c>
      <c r="I72" s="284">
        <f>ALIMENTARIAS!I75</f>
        <v>0</v>
      </c>
      <c r="J72" s="365"/>
      <c r="K72" s="374"/>
      <c r="L72" s="368"/>
      <c r="M72" s="369"/>
      <c r="N72" s="368"/>
      <c r="O72" s="350"/>
    </row>
    <row r="73" spans="1:15" ht="22.5" x14ac:dyDescent="0.2">
      <c r="A73" s="282">
        <f>'PRES. TOTAL CALENARIZADA 2013'!A76</f>
        <v>3261</v>
      </c>
      <c r="B73" s="283" t="str">
        <f>'PRES. TOTAL CALENARIZADA 2013'!C76</f>
        <v>Arrendamiento de maquinaria otros equipos y maquinaria</v>
      </c>
      <c r="C73" s="284">
        <f>'PRES. TOTAL CALENARIZADA 2013'!D76-K73</f>
        <v>9500</v>
      </c>
      <c r="D73" s="385"/>
      <c r="E73" s="290">
        <f>ELECTROMECANICA!E76+ALIMENTARIAS!E76+'INOVACION AGRICOLA'!E76+'SERVICIOS ESCOLARES'!E76+'DESARROLLO ACADEMICO'!E76+VINCULACIÓN!E76+PLANEACION!E76+CALIDAD!E76+'ADMON REC'!E76</f>
        <v>0</v>
      </c>
      <c r="F73" s="291">
        <f>ELECTROMECANICA!F76+ALIMENTARIAS!F76+'INOVACION AGRICOLA'!F76+'SERVICIOS ESCOLARES'!F76+'DESARROLLO ACADEMICO'!F76+VINCULACIÓN!F76+PLANEACION!F76+CALIDAD!F76+'ADMON REC'!F76</f>
        <v>9500</v>
      </c>
      <c r="G73" s="291">
        <f>ELECTROMECANICA!G76+ALIMENTARIAS!G76+'INOVACION AGRICOLA'!G76+'SERVICIOS ESCOLARES'!G76+'DESARROLLO ACADEMICO'!G76+VINCULACIÓN!G76+PLANEACION!G76+CALIDAD!G76+'ADMON REC'!G76</f>
        <v>0</v>
      </c>
      <c r="H73" s="291">
        <f>ELECTROMECANICA!H76+ALIMENTARIAS!H76+'INOVACION AGRICOLA'!H76+'SERVICIOS ESCOLARES'!H76+'DESARROLLO ACADEMICO'!H76+VINCULACIÓN!H76+PLANEACION!H76+CALIDAD!H76+'ADMON REC'!H76</f>
        <v>0</v>
      </c>
      <c r="I73" s="284">
        <f>ALIMENTARIAS!I76</f>
        <v>0</v>
      </c>
      <c r="J73" s="365"/>
      <c r="K73" s="374"/>
      <c r="L73" s="368"/>
      <c r="M73" s="369"/>
      <c r="N73" s="368"/>
      <c r="O73" s="350"/>
    </row>
    <row r="74" spans="1:15" ht="22.5" x14ac:dyDescent="0.2">
      <c r="A74" s="282">
        <f>'PRES. TOTAL CALENARIZADA 2013'!A77</f>
        <v>3311</v>
      </c>
      <c r="B74" s="283" t="str">
        <f>'PRES. TOTAL CALENARIZADA 2013'!C77</f>
        <v>Servicios legales, de contabilidad, auditoría y relacionados</v>
      </c>
      <c r="C74" s="284">
        <f>'PRES. TOTAL CALENARIZADA 2013'!D77-K74</f>
        <v>175000</v>
      </c>
      <c r="D74" s="385"/>
      <c r="E74" s="290">
        <f>ELECTROMECANICA!E77+ALIMENTARIAS!E77+'INOVACION AGRICOLA'!E77+'SERVICIOS ESCOLARES'!E77+'DESARROLLO ACADEMICO'!E77+VINCULACIÓN!E77+PLANEACION!E77+CALIDAD!E77+'ADMON REC'!E77</f>
        <v>0</v>
      </c>
      <c r="F74" s="291">
        <f>ELECTROMECANICA!F77+ALIMENTARIAS!F77+'INOVACION AGRICOLA'!F77+'SERVICIOS ESCOLARES'!F77+'DESARROLLO ACADEMICO'!F77+VINCULACIÓN!F77+PLANEACION!F77+CALIDAD!F77+'ADMON REC'!F77</f>
        <v>60000</v>
      </c>
      <c r="G74" s="291">
        <f>ELECTROMECANICA!G77+ALIMENTARIAS!G77+'INOVACION AGRICOLA'!G77+'SERVICIOS ESCOLARES'!G77+'DESARROLLO ACADEMICO'!G77+VINCULACIÓN!G77+PLANEACION!G77+CALIDAD!G77+'ADMON REC'!G77</f>
        <v>0</v>
      </c>
      <c r="H74" s="291">
        <f>ELECTROMECANICA!H77+ALIMENTARIAS!H77+'INOVACION AGRICOLA'!H77+'SERVICIOS ESCOLARES'!H77+'DESARROLLO ACADEMICO'!H77+VINCULACIÓN!H77+PLANEACION!H77+CALIDAD!H77+'ADMON REC'!H77</f>
        <v>115000</v>
      </c>
      <c r="I74" s="284">
        <f>ALIMENTARIAS!I77</f>
        <v>0</v>
      </c>
      <c r="J74" s="365"/>
      <c r="K74" s="374"/>
      <c r="L74" s="368"/>
      <c r="M74" s="369"/>
      <c r="N74" s="368"/>
      <c r="O74" s="350"/>
    </row>
    <row r="75" spans="1:15" ht="22.5" x14ac:dyDescent="0.2">
      <c r="A75" s="282">
        <f>'PRES. TOTAL CALENARIZADA 2013'!A78</f>
        <v>3331</v>
      </c>
      <c r="B75" s="283" t="str">
        <f>'PRES. TOTAL CALENARIZADA 2013'!C78</f>
        <v>Servicios de Consultoria administrativa, procesos, tecnica y TI</v>
      </c>
      <c r="C75" s="284">
        <f>'PRES. TOTAL CALENARIZADA 2013'!D78-K75</f>
        <v>177980.03</v>
      </c>
      <c r="D75" s="385"/>
      <c r="E75" s="290">
        <f>ELECTROMECANICA!E78+ALIMENTARIAS!E78+'INOVACION AGRICOLA'!E78+'SERVICIOS ESCOLARES'!E78+'DESARROLLO ACADEMICO'!E78+VINCULACIÓN!E78+PLANEACION!E78+CALIDAD!E78+'ADMON REC'!E78</f>
        <v>0</v>
      </c>
      <c r="F75" s="291">
        <f>ELECTROMECANICA!F78+ALIMENTARIAS!F78+'INOVACION AGRICOLA'!F78+'SERVICIOS ESCOLARES'!F78+'DESARROLLO ACADEMICO'!F78+VINCULACIÓN!F78+PLANEACION!F78+CALIDAD!F78+'ADMON REC'!F78</f>
        <v>62900.03</v>
      </c>
      <c r="G75" s="291">
        <f>ELECTROMECANICA!G78+ALIMENTARIAS!G78+'INOVACION AGRICOLA'!G78+'SERVICIOS ESCOLARES'!G78+'DESARROLLO ACADEMICO'!G78+VINCULACIÓN!G78+PLANEACION!G78+CALIDAD!G78+'ADMON REC'!G78</f>
        <v>0</v>
      </c>
      <c r="H75" s="291">
        <f>ELECTROMECANICA!H78+ALIMENTARIAS!H78+'INOVACION AGRICOLA'!H78+'SERVICIOS ESCOLARES'!H78+'DESARROLLO ACADEMICO'!H78+VINCULACIÓN!H78+PLANEACION!H78+CALIDAD!H78+'ADMON REC'!H78</f>
        <v>115080</v>
      </c>
      <c r="I75" s="284">
        <f>ALIMENTARIAS!I78</f>
        <v>0</v>
      </c>
      <c r="J75" s="365"/>
      <c r="K75" s="374"/>
      <c r="L75" s="368"/>
      <c r="M75" s="369"/>
      <c r="N75" s="368"/>
      <c r="O75" s="350"/>
    </row>
    <row r="76" spans="1:15" x14ac:dyDescent="0.2">
      <c r="A76" s="282">
        <f>'PRES. TOTAL CALENARIZADA 2013'!A79</f>
        <v>3341</v>
      </c>
      <c r="B76" s="283" t="str">
        <f>'PRES. TOTAL CALENARIZADA 2013'!C79</f>
        <v>Capacitación institucional</v>
      </c>
      <c r="C76" s="284">
        <f>'PRES. TOTAL CALENARIZADA 2013'!D79-K76</f>
        <v>30000</v>
      </c>
      <c r="D76" s="385"/>
      <c r="E76" s="290">
        <f>ELECTROMECANICA!E79+ALIMENTARIAS!E79+'INOVACION AGRICOLA'!E79+'SERVICIOS ESCOLARES'!E79+'DESARROLLO ACADEMICO'!E79+VINCULACIÓN!E79+PLANEACION!E79+CALIDAD!E79+'ADMON REC'!E79</f>
        <v>0</v>
      </c>
      <c r="F76" s="291">
        <f>ELECTROMECANICA!F79+ALIMENTARIAS!F79+'INOVACION AGRICOLA'!F79+'SERVICIOS ESCOLARES'!F79+'DESARROLLO ACADEMICO'!F79+VINCULACIÓN!F79+PLANEACION!F79+CALIDAD!F79+'ADMON REC'!F79</f>
        <v>30000</v>
      </c>
      <c r="G76" s="291">
        <f>ELECTROMECANICA!G79+ALIMENTARIAS!G79+'INOVACION AGRICOLA'!G79+'SERVICIOS ESCOLARES'!G79+'DESARROLLO ACADEMICO'!G79+VINCULACIÓN!G79+PLANEACION!G79+CALIDAD!G79+'ADMON REC'!G79</f>
        <v>0</v>
      </c>
      <c r="H76" s="291">
        <f>ELECTROMECANICA!H79+ALIMENTARIAS!H79+'INOVACION AGRICOLA'!H79+'SERVICIOS ESCOLARES'!H79+'DESARROLLO ACADEMICO'!H79+VINCULACIÓN!H79+PLANEACION!H79+CALIDAD!H79+'ADMON REC'!H79</f>
        <v>0</v>
      </c>
      <c r="I76" s="284">
        <f>ALIMENTARIAS!I79</f>
        <v>0</v>
      </c>
      <c r="J76" s="365"/>
      <c r="K76" s="374"/>
      <c r="L76" s="368"/>
      <c r="M76" s="369"/>
      <c r="N76" s="368"/>
      <c r="O76" s="350"/>
    </row>
    <row r="77" spans="1:15" x14ac:dyDescent="0.2">
      <c r="A77" s="282">
        <f>'PRES. TOTAL CALENARIZADA 2013'!A80</f>
        <v>3342</v>
      </c>
      <c r="B77" s="283" t="str">
        <f>'PRES. TOTAL CALENARIZADA 2013'!C80</f>
        <v>Capacitación especializada</v>
      </c>
      <c r="C77" s="284">
        <f>'PRES. TOTAL CALENARIZADA 2013'!D80-K77</f>
        <v>110000</v>
      </c>
      <c r="D77" s="385"/>
      <c r="E77" s="290">
        <f>ELECTROMECANICA!E80+ALIMENTARIAS!E80+'INOVACION AGRICOLA'!E80+'SERVICIOS ESCOLARES'!E80+'DESARROLLO ACADEMICO'!E80+VINCULACIÓN!E80+PLANEACION!E80+CALIDAD!E80+'ADMON REC'!E80</f>
        <v>0</v>
      </c>
      <c r="F77" s="291">
        <f>ELECTROMECANICA!F80+ALIMENTARIAS!F80+'INOVACION AGRICOLA'!F80+'SERVICIOS ESCOLARES'!F80+'DESARROLLO ACADEMICO'!F80+VINCULACIÓN!F80+PLANEACION!F80+CALIDAD!F80+'ADMON REC'!F80</f>
        <v>110000</v>
      </c>
      <c r="G77" s="291">
        <f>ELECTROMECANICA!G80+ALIMENTARIAS!G80+'INOVACION AGRICOLA'!G80+'SERVICIOS ESCOLARES'!G80+'DESARROLLO ACADEMICO'!G80+VINCULACIÓN!G80+PLANEACION!G80+CALIDAD!G80+'ADMON REC'!G80</f>
        <v>0</v>
      </c>
      <c r="H77" s="291">
        <f>ELECTROMECANICA!H80+ALIMENTARIAS!H80+'INOVACION AGRICOLA'!H80+'SERVICIOS ESCOLARES'!H80+'DESARROLLO ACADEMICO'!H80+VINCULACIÓN!H80+PLANEACION!H80+CALIDAD!H80+'ADMON REC'!H80</f>
        <v>0</v>
      </c>
      <c r="I77" s="284">
        <f>ALIMENTARIAS!I80</f>
        <v>0</v>
      </c>
      <c r="J77" s="365"/>
      <c r="K77" s="374"/>
      <c r="L77" s="368"/>
      <c r="M77" s="369"/>
      <c r="N77" s="368"/>
      <c r="O77" s="350"/>
    </row>
    <row r="78" spans="1:15" ht="22.5" x14ac:dyDescent="0.2">
      <c r="A78" s="282">
        <f>'PRES. TOTAL CALENARIZADA 2013'!A81</f>
        <v>3361</v>
      </c>
      <c r="B78" s="283" t="str">
        <f>'PRES. TOTAL CALENARIZADA 2013'!C81</f>
        <v>Servicios de apoyo administrativo, fotocopiado</v>
      </c>
      <c r="C78" s="284">
        <f>'PRES. TOTAL CALENARIZADA 2013'!D81-K78</f>
        <v>20000</v>
      </c>
      <c r="D78" s="385"/>
      <c r="E78" s="290">
        <f>ELECTROMECANICA!E81+ALIMENTARIAS!E81+'INOVACION AGRICOLA'!E81+'SERVICIOS ESCOLARES'!E81+'DESARROLLO ACADEMICO'!E81+VINCULACIÓN!E81+PLANEACION!E81+CALIDAD!E81+'ADMON REC'!E81</f>
        <v>0</v>
      </c>
      <c r="F78" s="291">
        <f>ELECTROMECANICA!F81+ALIMENTARIAS!F81+'INOVACION AGRICOLA'!F81+'SERVICIOS ESCOLARES'!F81+'DESARROLLO ACADEMICO'!F81+VINCULACIÓN!F81+PLANEACION!F81+CALIDAD!F81+'ADMON REC'!F81</f>
        <v>15000</v>
      </c>
      <c r="G78" s="291">
        <f>ELECTROMECANICA!G81+ALIMENTARIAS!G81+'INOVACION AGRICOLA'!G81+'SERVICIOS ESCOLARES'!G81+'DESARROLLO ACADEMICO'!G81+VINCULACIÓN!G81+PLANEACION!G81+CALIDAD!G81+'ADMON REC'!G81</f>
        <v>0</v>
      </c>
      <c r="H78" s="291">
        <f>ELECTROMECANICA!H81+ALIMENTARIAS!H81+'INOVACION AGRICOLA'!H81+'SERVICIOS ESCOLARES'!H81+'DESARROLLO ACADEMICO'!H81+VINCULACIÓN!H81+PLANEACION!H81+CALIDAD!H81+'ADMON REC'!H81</f>
        <v>5000</v>
      </c>
      <c r="I78" s="284">
        <f>ALIMENTARIAS!I81</f>
        <v>0</v>
      </c>
      <c r="J78" s="365"/>
      <c r="K78" s="374"/>
      <c r="L78" s="368"/>
      <c r="M78" s="369"/>
      <c r="N78" s="368"/>
      <c r="O78" s="350"/>
    </row>
    <row r="79" spans="1:15" x14ac:dyDescent="0.2">
      <c r="A79" s="282">
        <f>'PRES. TOTAL CALENARIZADA 2013'!A82</f>
        <v>3362</v>
      </c>
      <c r="B79" s="283" t="str">
        <f>'PRES. TOTAL CALENARIZADA 2013'!C82</f>
        <v>Impresiones de papeleria oficial</v>
      </c>
      <c r="C79" s="284">
        <f>'PRES. TOTAL CALENARIZADA 2013'!D82-K79</f>
        <v>20000</v>
      </c>
      <c r="D79" s="385"/>
      <c r="E79" s="290">
        <f>ELECTROMECANICA!E82+ALIMENTARIAS!E82+'INOVACION AGRICOLA'!E82+'SERVICIOS ESCOLARES'!E82+'DESARROLLO ACADEMICO'!E82+VINCULACIÓN!E82+PLANEACION!E82+CALIDAD!E82+'ADMON REC'!E82</f>
        <v>0</v>
      </c>
      <c r="F79" s="291">
        <f>ELECTROMECANICA!F82+ALIMENTARIAS!F82+'INOVACION AGRICOLA'!F82+'SERVICIOS ESCOLARES'!F82+'DESARROLLO ACADEMICO'!F82+VINCULACIÓN!F82+PLANEACION!F82+CALIDAD!F82+'ADMON REC'!F82</f>
        <v>20000</v>
      </c>
      <c r="G79" s="291">
        <f>ELECTROMECANICA!G82+ALIMENTARIAS!G82+'INOVACION AGRICOLA'!G82+'SERVICIOS ESCOLARES'!G82+'DESARROLLO ACADEMICO'!G82+VINCULACIÓN!G82+PLANEACION!G82+CALIDAD!G82+'ADMON REC'!G82</f>
        <v>0</v>
      </c>
      <c r="H79" s="291">
        <f>ELECTROMECANICA!H82+ALIMENTARIAS!H82+'INOVACION AGRICOLA'!H82+'SERVICIOS ESCOLARES'!H82+'DESARROLLO ACADEMICO'!H82+VINCULACIÓN!H82+PLANEACION!H82+CALIDAD!H82+'ADMON REC'!H82</f>
        <v>20000</v>
      </c>
      <c r="I79" s="284">
        <f>ALIMENTARIAS!I82</f>
        <v>0</v>
      </c>
      <c r="J79" s="365"/>
      <c r="K79" s="374">
        <v>20000</v>
      </c>
      <c r="L79" s="368"/>
      <c r="M79" s="369"/>
      <c r="N79" s="368"/>
      <c r="O79" s="350"/>
    </row>
    <row r="80" spans="1:15" x14ac:dyDescent="0.2">
      <c r="A80" s="282">
        <f>'PRES. TOTAL CALENARIZADA 2013'!A83</f>
        <v>3381</v>
      </c>
      <c r="B80" s="283" t="str">
        <f>'PRES. TOTAL CALENARIZADA 2013'!C83</f>
        <v>Servicios de vigilancia</v>
      </c>
      <c r="C80" s="284">
        <f>'PRES. TOTAL CALENARIZADA 2013'!D83-K80</f>
        <v>0</v>
      </c>
      <c r="D80" s="385"/>
      <c r="E80" s="290">
        <f>ELECTROMECANICA!E83+ALIMENTARIAS!E83+'INOVACION AGRICOLA'!E83+'SERVICIOS ESCOLARES'!E83+'DESARROLLO ACADEMICO'!E83+VINCULACIÓN!E83+PLANEACION!E83+CALIDAD!E83+'ADMON REC'!E83</f>
        <v>0</v>
      </c>
      <c r="F80" s="291">
        <f>ELECTROMECANICA!F83+ALIMENTARIAS!F83+'INOVACION AGRICOLA'!F83+'SERVICIOS ESCOLARES'!F83+'DESARROLLO ACADEMICO'!F83+VINCULACIÓN!F83+PLANEACION!F83+CALIDAD!F83+'ADMON REC'!F83</f>
        <v>0</v>
      </c>
      <c r="G80" s="291">
        <f>ELECTROMECANICA!G83+ALIMENTARIAS!G83+'INOVACION AGRICOLA'!G83+'SERVICIOS ESCOLARES'!G83+'DESARROLLO ACADEMICO'!G83+VINCULACIÓN!G83+PLANEACION!G83+CALIDAD!G83+'ADMON REC'!G83</f>
        <v>0</v>
      </c>
      <c r="H80" s="291">
        <f>ELECTROMECANICA!H83+ALIMENTARIAS!H83+'INOVACION AGRICOLA'!H83+'SERVICIOS ESCOLARES'!H83+'DESARROLLO ACADEMICO'!H83+VINCULACIÓN!H83+PLANEACION!H83+CALIDAD!H83+'ADMON REC'!H83</f>
        <v>0</v>
      </c>
      <c r="I80" s="284">
        <f>ALIMENTARIAS!I83</f>
        <v>0</v>
      </c>
      <c r="J80" s="365"/>
      <c r="K80" s="374"/>
      <c r="L80" s="368"/>
      <c r="M80" s="369"/>
      <c r="N80" s="368"/>
      <c r="O80" s="350"/>
    </row>
    <row r="81" spans="1:15" ht="22.5" x14ac:dyDescent="0.2">
      <c r="A81" s="282">
        <f>'PRES. TOTAL CALENARIZADA 2013'!A84</f>
        <v>3391</v>
      </c>
      <c r="B81" s="283" t="str">
        <f>'PRES. TOTAL CALENARIZADA 2013'!C84</f>
        <v>Servicios profesionales, científicos y técnicos integrales</v>
      </c>
      <c r="C81" s="284">
        <f>'PRES. TOTAL CALENARIZADA 2013'!D84-K81</f>
        <v>524000</v>
      </c>
      <c r="D81" s="385"/>
      <c r="E81" s="290">
        <f>ELECTROMECANICA!E84+ALIMENTARIAS!E84+'INOVACION AGRICOLA'!E84+'SERVICIOS ESCOLARES'!E84+'DESARROLLO ACADEMICO'!E84+VINCULACIÓN!E84+PLANEACION!E84+CALIDAD!E84+'ADMON REC'!E84</f>
        <v>0</v>
      </c>
      <c r="F81" s="291">
        <f>ELECTROMECANICA!F84+ALIMENTARIAS!F84+'INOVACION AGRICOLA'!F84+'SERVICIOS ESCOLARES'!F84+'DESARROLLO ACADEMICO'!F84+VINCULACIÓN!F84+PLANEACION!F84+CALIDAD!F84+'ADMON REC'!F84</f>
        <v>0</v>
      </c>
      <c r="G81" s="291">
        <f>ELECTROMECANICA!G84+ALIMENTARIAS!G84+'INOVACION AGRICOLA'!G84+'SERVICIOS ESCOLARES'!G84+'DESARROLLO ACADEMICO'!G84+VINCULACIÓN!G84+PLANEACION!G84+CALIDAD!G84+'ADMON REC'!G84</f>
        <v>0</v>
      </c>
      <c r="H81" s="291">
        <f>ELECTROMECANICA!H84+ALIMENTARIAS!H84+'INOVACION AGRICOLA'!H84+'SERVICIOS ESCOLARES'!H84+'DESARROLLO ACADEMICO'!H84+VINCULACIÓN!H84+PLANEACION!H84+CALIDAD!H84+'ADMON REC'!H84</f>
        <v>380000</v>
      </c>
      <c r="I81" s="284">
        <f>ALIMENTARIAS!I84</f>
        <v>64000</v>
      </c>
      <c r="J81" s="365"/>
      <c r="K81" s="374"/>
      <c r="L81" s="368"/>
      <c r="M81" s="369"/>
      <c r="N81" s="368"/>
      <c r="O81" s="350"/>
    </row>
    <row r="82" spans="1:15" x14ac:dyDescent="0.2">
      <c r="A82" s="282">
        <f>'PRES. TOTAL CALENARIZADA 2013'!A85</f>
        <v>3411</v>
      </c>
      <c r="B82" s="283" t="str">
        <f>'PRES. TOTAL CALENARIZADA 2013'!C85</f>
        <v>Servicios financieros y bancarios</v>
      </c>
      <c r="C82" s="284">
        <f>'PRES. TOTAL CALENARIZADA 2013'!D85-K82</f>
        <v>14600</v>
      </c>
      <c r="D82" s="385"/>
      <c r="E82" s="290">
        <f>ELECTROMECANICA!E85+ALIMENTARIAS!E85+'INOVACION AGRICOLA'!E85+'SERVICIOS ESCOLARES'!E85+'DESARROLLO ACADEMICO'!E85+VINCULACIÓN!E85+PLANEACION!E85+CALIDAD!E85+'ADMON REC'!E85</f>
        <v>0</v>
      </c>
      <c r="F82" s="291">
        <f>ELECTROMECANICA!F85+ALIMENTARIAS!F85+'INOVACION AGRICOLA'!F85+'SERVICIOS ESCOLARES'!F85+'DESARROLLO ACADEMICO'!F85+VINCULACIÓN!F85+PLANEACION!F85+CALIDAD!F85+'ADMON REC'!F85</f>
        <v>9600</v>
      </c>
      <c r="G82" s="291">
        <f>ELECTROMECANICA!G85+ALIMENTARIAS!G85+'INOVACION AGRICOLA'!G85+'SERVICIOS ESCOLARES'!G85+'DESARROLLO ACADEMICO'!G85+VINCULACIÓN!G85+PLANEACION!G85+CALIDAD!G85+'ADMON REC'!G85</f>
        <v>0</v>
      </c>
      <c r="H82" s="291">
        <f>ELECTROMECANICA!H85+ALIMENTARIAS!H85+'INOVACION AGRICOLA'!H85+'SERVICIOS ESCOLARES'!H85+'DESARROLLO ACADEMICO'!H85+VINCULACIÓN!H85+PLANEACION!H85+CALIDAD!H85+'ADMON REC'!H85</f>
        <v>5000</v>
      </c>
      <c r="I82" s="284">
        <f>ALIMENTARIAS!I85</f>
        <v>0</v>
      </c>
      <c r="J82" s="365"/>
      <c r="K82" s="374"/>
      <c r="L82" s="368"/>
      <c r="M82" s="369"/>
      <c r="N82" s="368"/>
      <c r="O82" s="350"/>
    </row>
    <row r="83" spans="1:15" x14ac:dyDescent="0.2">
      <c r="A83" s="282">
        <f>'PRES. TOTAL CALENARIZADA 2013'!A86</f>
        <v>3451</v>
      </c>
      <c r="B83" s="283" t="str">
        <f>'PRES. TOTAL CALENARIZADA 2013'!C86</f>
        <v>Seguros de bienes patrimoniales</v>
      </c>
      <c r="C83" s="284">
        <f>'PRES. TOTAL CALENARIZADA 2013'!D86-K83</f>
        <v>351098.1</v>
      </c>
      <c r="D83" s="385"/>
      <c r="E83" s="290">
        <f>ELECTROMECANICA!E86+ALIMENTARIAS!E86+'INOVACION AGRICOLA'!E86+'SERVICIOS ESCOLARES'!E86+'DESARROLLO ACADEMICO'!E86+VINCULACIÓN!E86+PLANEACION!E86+CALIDAD!E86+'ADMON REC'!E86</f>
        <v>0</v>
      </c>
      <c r="F83" s="291">
        <f>ELECTROMECANICA!F86+ALIMENTARIAS!F86+'INOVACION AGRICOLA'!F86+'SERVICIOS ESCOLARES'!F86+'DESARROLLO ACADEMICO'!F86+VINCULACIÓN!F86+PLANEACION!F86+CALIDAD!F86+'ADMON REC'!F86</f>
        <v>71602.539999999994</v>
      </c>
      <c r="G83" s="291">
        <f>ELECTROMECANICA!G86+ALIMENTARIAS!G86+'INOVACION AGRICOLA'!G86+'SERVICIOS ESCOLARES'!G86+'DESARROLLO ACADEMICO'!G86+VINCULACIÓN!G86+PLANEACION!G86+CALIDAD!G86+'ADMON REC'!G86</f>
        <v>0</v>
      </c>
      <c r="H83" s="291">
        <f>ELECTROMECANICA!H86+ALIMENTARIAS!H86+'INOVACION AGRICOLA'!H86+'SERVICIOS ESCOLARES'!H86+'DESARROLLO ACADEMICO'!H86+VINCULACIÓN!H86+PLANEACION!H86+CALIDAD!H86+'ADMON REC'!H86</f>
        <v>279495.56</v>
      </c>
      <c r="I83" s="284">
        <f>ALIMENTARIAS!I86</f>
        <v>0</v>
      </c>
      <c r="J83" s="365"/>
      <c r="K83" s="374"/>
      <c r="L83" s="368"/>
      <c r="M83" s="369"/>
      <c r="N83" s="368"/>
      <c r="O83" s="350"/>
    </row>
    <row r="84" spans="1:15" x14ac:dyDescent="0.2">
      <c r="A84" s="282">
        <f>'PRES. TOTAL CALENARIZADA 2013'!A87</f>
        <v>3471</v>
      </c>
      <c r="B84" s="283" t="str">
        <f>'PRES. TOTAL CALENARIZADA 2013'!C87</f>
        <v>fletes y maniobras</v>
      </c>
      <c r="C84" s="284">
        <f>'PRES. TOTAL CALENARIZADA 2013'!D87-K84</f>
        <v>3000</v>
      </c>
      <c r="D84" s="385"/>
      <c r="E84" s="290">
        <f>ELECTROMECANICA!E87+ALIMENTARIAS!E87+'INOVACION AGRICOLA'!E87+'SERVICIOS ESCOLARES'!E87+'DESARROLLO ACADEMICO'!E87+VINCULACIÓN!E87+PLANEACION!E87+CALIDAD!E87+'ADMON REC'!E87</f>
        <v>0</v>
      </c>
      <c r="F84" s="291">
        <f>ELECTROMECANICA!F87+ALIMENTARIAS!F87+'INOVACION AGRICOLA'!F87+'SERVICIOS ESCOLARES'!F87+'DESARROLLO ACADEMICO'!F87+VINCULACIÓN!F87+PLANEACION!F87+CALIDAD!F87+'ADMON REC'!F87</f>
        <v>3000</v>
      </c>
      <c r="G84" s="291">
        <f>ELECTROMECANICA!G87+ALIMENTARIAS!G87+'INOVACION AGRICOLA'!G87+'SERVICIOS ESCOLARES'!G87+'DESARROLLO ACADEMICO'!G87+VINCULACIÓN!G87+PLANEACION!G87+CALIDAD!G87+'ADMON REC'!G87</f>
        <v>0</v>
      </c>
      <c r="H84" s="291">
        <f>ELECTROMECANICA!H87+ALIMENTARIAS!H87+'INOVACION AGRICOLA'!H87+'SERVICIOS ESCOLARES'!H87+'DESARROLLO ACADEMICO'!H87+VINCULACIÓN!H87+PLANEACION!H87+CALIDAD!H87+'ADMON REC'!H87</f>
        <v>0</v>
      </c>
      <c r="I84" s="284">
        <f>ALIMENTARIAS!I87</f>
        <v>0</v>
      </c>
      <c r="J84" s="365"/>
      <c r="K84" s="374"/>
      <c r="L84" s="368"/>
      <c r="M84" s="369"/>
      <c r="N84" s="368"/>
      <c r="O84" s="350"/>
    </row>
    <row r="85" spans="1:15" ht="22.5" x14ac:dyDescent="0.2">
      <c r="A85" s="282">
        <f>'PRES. TOTAL CALENARIZADA 2013'!A88</f>
        <v>3511</v>
      </c>
      <c r="B85" s="283" t="str">
        <f>'PRES. TOTAL CALENARIZADA 2013'!C88</f>
        <v>Conservacion y mantenimiento menor de inmuebles</v>
      </c>
      <c r="C85" s="284">
        <f>'PRES. TOTAL CALENARIZADA 2013'!D88-K85</f>
        <v>120000</v>
      </c>
      <c r="D85" s="385"/>
      <c r="E85" s="290">
        <f>ELECTROMECANICA!E88+ALIMENTARIAS!E88+'INOVACION AGRICOLA'!E88+'SERVICIOS ESCOLARES'!E88+'DESARROLLO ACADEMICO'!E88+VINCULACIÓN!E88+PLANEACION!E88+CALIDAD!E88+'ADMON REC'!E88</f>
        <v>0</v>
      </c>
      <c r="F85" s="291">
        <f>ELECTROMECANICA!F88+ALIMENTARIAS!F88+'INOVACION AGRICOLA'!F88+'SERVICIOS ESCOLARES'!F88+'DESARROLLO ACADEMICO'!F88+VINCULACIÓN!F88+PLANEACION!F88+CALIDAD!F88+'ADMON REC'!F88</f>
        <v>100000</v>
      </c>
      <c r="G85" s="291">
        <f>ELECTROMECANICA!G88+ALIMENTARIAS!G88+'INOVACION AGRICOLA'!G88+'SERVICIOS ESCOLARES'!G88+'DESARROLLO ACADEMICO'!G88+VINCULACIÓN!G88+PLANEACION!G88+CALIDAD!G88+'ADMON REC'!G88</f>
        <v>0</v>
      </c>
      <c r="H85" s="291">
        <f>ELECTROMECANICA!H88+ALIMENTARIAS!H88+'INOVACION AGRICOLA'!H88+'SERVICIOS ESCOLARES'!H88+'DESARROLLO ACADEMICO'!H88+VINCULACIÓN!H88+PLANEACION!H88+CALIDAD!H88+'ADMON REC'!H88</f>
        <v>20000</v>
      </c>
      <c r="I85" s="284">
        <f>ALIMENTARIAS!I88</f>
        <v>0</v>
      </c>
      <c r="J85" s="365"/>
      <c r="K85" s="374"/>
      <c r="L85" s="368"/>
      <c r="M85" s="369"/>
      <c r="N85" s="368"/>
      <c r="O85" s="350"/>
    </row>
    <row r="86" spans="1:15" ht="33.75" x14ac:dyDescent="0.2">
      <c r="A86" s="282">
        <f>'PRES. TOTAL CALENARIZADA 2013'!A89</f>
        <v>3531</v>
      </c>
      <c r="B86" s="283" t="str">
        <f>'PRES. TOTAL CALENARIZADA 2013'!C89</f>
        <v>Instalacion, reparación y mantenimiento de equipo de computo y tecnologías de la información</v>
      </c>
      <c r="C86" s="284">
        <f>'PRES. TOTAL CALENARIZADA 2013'!D89-K86</f>
        <v>40000</v>
      </c>
      <c r="D86" s="385"/>
      <c r="E86" s="290">
        <f>ELECTROMECANICA!E89+ALIMENTARIAS!E89+'INOVACION AGRICOLA'!E89+'SERVICIOS ESCOLARES'!E89+'DESARROLLO ACADEMICO'!E89+VINCULACIÓN!E89+PLANEACION!E89+CALIDAD!E89+'ADMON REC'!E89</f>
        <v>0</v>
      </c>
      <c r="F86" s="291">
        <f>ELECTROMECANICA!F89+ALIMENTARIAS!F89+'INOVACION AGRICOLA'!F89+'SERVICIOS ESCOLARES'!F89+'DESARROLLO ACADEMICO'!F89+VINCULACIÓN!F89+PLANEACION!F89+CALIDAD!F89+'ADMON REC'!F89</f>
        <v>40000</v>
      </c>
      <c r="G86" s="291">
        <f>ELECTROMECANICA!G89+ALIMENTARIAS!G89+'INOVACION AGRICOLA'!G89+'SERVICIOS ESCOLARES'!G89+'DESARROLLO ACADEMICO'!G89+VINCULACIÓN!G89+PLANEACION!G89+CALIDAD!G89+'ADMON REC'!G89</f>
        <v>0</v>
      </c>
      <c r="H86" s="291">
        <f>ELECTROMECANICA!H89+ALIMENTARIAS!H89+'INOVACION AGRICOLA'!H89+'SERVICIOS ESCOLARES'!H89+'DESARROLLO ACADEMICO'!H89+VINCULACIÓN!H89+PLANEACION!H89+CALIDAD!H89+'ADMON REC'!H89</f>
        <v>0</v>
      </c>
      <c r="I86" s="284">
        <f>ALIMENTARIAS!I89</f>
        <v>0</v>
      </c>
      <c r="J86" s="365"/>
      <c r="K86" s="374"/>
      <c r="L86" s="368"/>
      <c r="M86" s="369"/>
      <c r="N86" s="368"/>
      <c r="O86" s="350"/>
    </row>
    <row r="87" spans="1:15" ht="33.75" x14ac:dyDescent="0.2">
      <c r="A87" s="282">
        <f>'PRES. TOTAL CALENARIZADA 2013'!A90</f>
        <v>3541</v>
      </c>
      <c r="B87" s="283" t="str">
        <f>'PRES. TOTAL CALENARIZADA 2013'!C90</f>
        <v>Instalacion, reparación y mantenimiento de equipo e instrumenteal médico y de laboratorio</v>
      </c>
      <c r="C87" s="284">
        <f>'PRES. TOTAL CALENARIZADA 2013'!D90-K87</f>
        <v>126000</v>
      </c>
      <c r="D87" s="385"/>
      <c r="E87" s="290">
        <f>ELECTROMECANICA!E90+ALIMENTARIAS!E90+'INOVACION AGRICOLA'!E90+'SERVICIOS ESCOLARES'!E90+'DESARROLLO ACADEMICO'!E90+VINCULACIÓN!E90+PLANEACION!E90+CALIDAD!E90+'ADMON REC'!E90</f>
        <v>0</v>
      </c>
      <c r="F87" s="291">
        <f>ELECTROMECANICA!F90+ALIMENTARIAS!F90+'INOVACION AGRICOLA'!F90+'SERVICIOS ESCOLARES'!F90+'DESARROLLO ACADEMICO'!F90+VINCULACIÓN!F90+PLANEACION!F90+CALIDAD!F90+'ADMON REC'!F90</f>
        <v>120000</v>
      </c>
      <c r="G87" s="291">
        <f>ELECTROMECANICA!G90+ALIMENTARIAS!G90+'INOVACION AGRICOLA'!G90+'SERVICIOS ESCOLARES'!G90+'DESARROLLO ACADEMICO'!G90+VINCULACIÓN!G90+PLANEACION!G90+CALIDAD!G90+'ADMON REC'!G90</f>
        <v>6000</v>
      </c>
      <c r="H87" s="291">
        <f>ELECTROMECANICA!H90+ALIMENTARIAS!H90+'INOVACION AGRICOLA'!H90+'SERVICIOS ESCOLARES'!H90+'DESARROLLO ACADEMICO'!H90+VINCULACIÓN!H90+PLANEACION!H90+CALIDAD!H90+'ADMON REC'!H90</f>
        <v>0</v>
      </c>
      <c r="I87" s="284">
        <f>ALIMENTARIAS!I90</f>
        <v>0</v>
      </c>
      <c r="J87" s="365"/>
      <c r="K87" s="374"/>
      <c r="L87" s="368"/>
      <c r="M87" s="369"/>
      <c r="N87" s="368"/>
      <c r="O87" s="350"/>
    </row>
    <row r="88" spans="1:15" ht="22.5" x14ac:dyDescent="0.2">
      <c r="A88" s="282">
        <f>'PRES. TOTAL CALENARIZADA 2013'!A91</f>
        <v>3551</v>
      </c>
      <c r="B88" s="283" t="str">
        <f>'PRES. TOTAL CALENARIZADA 2013'!C91</f>
        <v>Reparación y mantenimiento de equipo de transporte</v>
      </c>
      <c r="C88" s="284">
        <f>'PRES. TOTAL CALENARIZADA 2013'!D91-K88</f>
        <v>91000</v>
      </c>
      <c r="D88" s="385"/>
      <c r="E88" s="290">
        <f>ELECTROMECANICA!E91+ALIMENTARIAS!E91+'INOVACION AGRICOLA'!E91+'SERVICIOS ESCOLARES'!E91+'DESARROLLO ACADEMICO'!E91+VINCULACIÓN!E91+PLANEACION!E91+CALIDAD!E91+'ADMON REC'!E91</f>
        <v>0</v>
      </c>
      <c r="F88" s="291">
        <f>ELECTROMECANICA!F91+ALIMENTARIAS!F91+'INOVACION AGRICOLA'!F91+'SERVICIOS ESCOLARES'!F91+'DESARROLLO ACADEMICO'!F91+VINCULACIÓN!F91+PLANEACION!F91+CALIDAD!F91+'ADMON REC'!F91</f>
        <v>0</v>
      </c>
      <c r="G88" s="291">
        <f>ELECTROMECANICA!G91+ALIMENTARIAS!G91+'INOVACION AGRICOLA'!G91+'SERVICIOS ESCOLARES'!G91+'DESARROLLO ACADEMICO'!G91+VINCULACIÓN!G91+PLANEACION!G91+CALIDAD!G91+'ADMON REC'!G91</f>
        <v>91000</v>
      </c>
      <c r="H88" s="291">
        <f>ELECTROMECANICA!H91+ALIMENTARIAS!H91+'INOVACION AGRICOLA'!H91+'SERVICIOS ESCOLARES'!H91+'DESARROLLO ACADEMICO'!H91+VINCULACIÓN!H91+PLANEACION!H91+CALIDAD!H91+'ADMON REC'!H91</f>
        <v>0</v>
      </c>
      <c r="I88" s="284">
        <f>ALIMENTARIAS!I91</f>
        <v>0</v>
      </c>
      <c r="J88" s="365"/>
      <c r="K88" s="374"/>
      <c r="L88" s="368"/>
      <c r="M88" s="369"/>
      <c r="N88" s="368"/>
      <c r="O88" s="350"/>
    </row>
    <row r="89" spans="1:15" ht="33.75" x14ac:dyDescent="0.2">
      <c r="A89" s="282">
        <f>'PRES. TOTAL CALENARIZADA 2013'!A92</f>
        <v>3571</v>
      </c>
      <c r="B89" s="283" t="str">
        <f>'PRES. TOTAL CALENARIZADA 2013'!C92</f>
        <v>Instalación, reparacion y mantenimiento de maquinaria, otros equipos y herramienta</v>
      </c>
      <c r="C89" s="284">
        <f>'PRES. TOTAL CALENARIZADA 2013'!D92-K89</f>
        <v>21000</v>
      </c>
      <c r="D89" s="385"/>
      <c r="E89" s="290">
        <f>ELECTROMECANICA!E92+ALIMENTARIAS!E92+'INOVACION AGRICOLA'!E92+'SERVICIOS ESCOLARES'!E92+'DESARROLLO ACADEMICO'!E92+VINCULACIÓN!E92+PLANEACION!E92+CALIDAD!E92+'ADMON REC'!E92</f>
        <v>0</v>
      </c>
      <c r="F89" s="291">
        <f>ELECTROMECANICA!F92+ALIMENTARIAS!F92+'INOVACION AGRICOLA'!F92+'SERVICIOS ESCOLARES'!F92+'DESARROLLO ACADEMICO'!F92+VINCULACIÓN!F92+PLANEACION!F92+CALIDAD!F92+'ADMON REC'!F92</f>
        <v>0</v>
      </c>
      <c r="G89" s="291">
        <f>ELECTROMECANICA!G92+ALIMENTARIAS!G92+'INOVACION AGRICOLA'!G92+'SERVICIOS ESCOLARES'!G92+'DESARROLLO ACADEMICO'!G92+VINCULACIÓN!G92+PLANEACION!G92+CALIDAD!G92+'ADMON REC'!G92</f>
        <v>6000</v>
      </c>
      <c r="H89" s="291">
        <f>ELECTROMECANICA!H92+ALIMENTARIAS!H92+'INOVACION AGRICOLA'!H92+'SERVICIOS ESCOLARES'!H92+'DESARROLLO ACADEMICO'!H92+VINCULACIÓN!H92+PLANEACION!H92+CALIDAD!H92+'ADMON REC'!H92</f>
        <v>15000</v>
      </c>
      <c r="I89" s="284">
        <f>ALIMENTARIAS!I92</f>
        <v>0</v>
      </c>
      <c r="J89" s="365"/>
      <c r="K89" s="374"/>
      <c r="L89" s="368"/>
      <c r="M89" s="369"/>
      <c r="N89" s="368"/>
      <c r="O89" s="350"/>
    </row>
    <row r="90" spans="1:15" ht="33.75" x14ac:dyDescent="0.2">
      <c r="A90" s="282">
        <f>'PRES. TOTAL CALENARIZADA 2013'!A93</f>
        <v>3572</v>
      </c>
      <c r="B90" s="283" t="str">
        <f>'PRES. TOTAL CALENARIZADA 2013'!C93</f>
        <v>Mantenimineto y conservación de maquinaria y equipo de trabajo específico</v>
      </c>
      <c r="C90" s="284">
        <f>'PRES. TOTAL CALENARIZADA 2013'!D93-K90</f>
        <v>51000</v>
      </c>
      <c r="D90" s="385"/>
      <c r="E90" s="290">
        <f>ELECTROMECANICA!E93+ALIMENTARIAS!E93+'INOVACION AGRICOLA'!E93+'SERVICIOS ESCOLARES'!E93+'DESARROLLO ACADEMICO'!E93+VINCULACIÓN!E93+PLANEACION!E93+CALIDAD!E93+'ADMON REC'!E93</f>
        <v>0</v>
      </c>
      <c r="F90" s="291">
        <f>ELECTROMECANICA!F93+ALIMENTARIAS!F93+'INOVACION AGRICOLA'!F93+'SERVICIOS ESCOLARES'!F93+'DESARROLLO ACADEMICO'!F93+VINCULACIÓN!F93+PLANEACION!F93+CALIDAD!F93+'ADMON REC'!F93</f>
        <v>0</v>
      </c>
      <c r="G90" s="291">
        <f>ELECTROMECANICA!G93+ALIMENTARIAS!G93+'INOVACION AGRICOLA'!G93+'SERVICIOS ESCOLARES'!G93+'DESARROLLO ACADEMICO'!G93+VINCULACIÓN!G93+PLANEACION!G93+CALIDAD!G93+'ADMON REC'!G93</f>
        <v>6000</v>
      </c>
      <c r="H90" s="291">
        <f>ELECTROMECANICA!H93+ALIMENTARIAS!H93+'INOVACION AGRICOLA'!H93+'SERVICIOS ESCOLARES'!H93+'DESARROLLO ACADEMICO'!H93+VINCULACIÓN!H93+PLANEACION!H93+CALIDAD!H93+'ADMON REC'!H93</f>
        <v>65000</v>
      </c>
      <c r="I90" s="284">
        <f>ALIMENTARIAS!I93</f>
        <v>0</v>
      </c>
      <c r="J90" s="365"/>
      <c r="K90" s="374">
        <v>20000</v>
      </c>
      <c r="L90" s="368"/>
      <c r="M90" s="369"/>
      <c r="N90" s="368"/>
      <c r="O90" s="350"/>
    </row>
    <row r="91" spans="1:15" ht="22.5" x14ac:dyDescent="0.2">
      <c r="A91" s="282">
        <f>'PRES. TOTAL CALENARIZADA 2013'!A94</f>
        <v>3581</v>
      </c>
      <c r="B91" s="283" t="str">
        <f>'PRES. TOTAL CALENARIZADA 2013'!C94</f>
        <v>Servicios de limpieza y manejo de desechos</v>
      </c>
      <c r="C91" s="284">
        <f>'PRES. TOTAL CALENARIZADA 2013'!D94-K91</f>
        <v>40000</v>
      </c>
      <c r="D91" s="385"/>
      <c r="E91" s="290">
        <f>ELECTROMECANICA!E94+ALIMENTARIAS!E94+'INOVACION AGRICOLA'!E94+'SERVICIOS ESCOLARES'!E94+'DESARROLLO ACADEMICO'!E94+VINCULACIÓN!E94+PLANEACION!E94+CALIDAD!E94+'ADMON REC'!E94</f>
        <v>0</v>
      </c>
      <c r="F91" s="291">
        <f>ELECTROMECANICA!F94+ALIMENTARIAS!F94+'INOVACION AGRICOLA'!F94+'SERVICIOS ESCOLARES'!F94+'DESARROLLO ACADEMICO'!F94+VINCULACIÓN!F94+PLANEACION!F94+CALIDAD!F94+'ADMON REC'!F94</f>
        <v>0</v>
      </c>
      <c r="G91" s="291">
        <f>ELECTROMECANICA!G94+ALIMENTARIAS!G94+'INOVACION AGRICOLA'!G94+'SERVICIOS ESCOLARES'!G94+'DESARROLLO ACADEMICO'!G94+VINCULACIÓN!G94+PLANEACION!G94+CALIDAD!G94+'ADMON REC'!G94</f>
        <v>30000</v>
      </c>
      <c r="H91" s="291">
        <f>ELECTROMECANICA!H94+ALIMENTARIAS!H94+'INOVACION AGRICOLA'!H94+'SERVICIOS ESCOLARES'!H94+'DESARROLLO ACADEMICO'!H94+VINCULACIÓN!H94+PLANEACION!H94+CALIDAD!H94+'ADMON REC'!H94</f>
        <v>10000</v>
      </c>
      <c r="I91" s="284">
        <f>ALIMENTARIAS!I94</f>
        <v>0</v>
      </c>
      <c r="J91" s="365"/>
      <c r="K91" s="374"/>
      <c r="L91" s="368"/>
      <c r="M91" s="369"/>
      <c r="N91" s="368"/>
      <c r="O91" s="350"/>
    </row>
    <row r="92" spans="1:15" x14ac:dyDescent="0.2">
      <c r="A92" s="282">
        <f>'PRES. TOTAL CALENARIZADA 2013'!A95</f>
        <v>3591</v>
      </c>
      <c r="B92" s="283" t="str">
        <f>'PRES. TOTAL CALENARIZADA 2013'!C95</f>
        <v>Servicios de jardineria y fumigación</v>
      </c>
      <c r="C92" s="284">
        <f>'PRES. TOTAL CALENARIZADA 2013'!D95-K92</f>
        <v>6000</v>
      </c>
      <c r="D92" s="385"/>
      <c r="E92" s="290">
        <f>ELECTROMECANICA!E95+ALIMENTARIAS!E95+'INOVACION AGRICOLA'!E95+'SERVICIOS ESCOLARES'!E95+'DESARROLLO ACADEMICO'!E95+VINCULACIÓN!E95+PLANEACION!E95+CALIDAD!E95+'ADMON REC'!E95</f>
        <v>0</v>
      </c>
      <c r="F92" s="291">
        <f>ELECTROMECANICA!F95+ALIMENTARIAS!F95+'INOVACION AGRICOLA'!F95+'SERVICIOS ESCOLARES'!F95+'DESARROLLO ACADEMICO'!F95+VINCULACIÓN!F95+PLANEACION!F95+CALIDAD!F95+'ADMON REC'!F95</f>
        <v>0</v>
      </c>
      <c r="G92" s="291">
        <f>ELECTROMECANICA!G95+ALIMENTARIAS!G95+'INOVACION AGRICOLA'!G95+'SERVICIOS ESCOLARES'!G95+'DESARROLLO ACADEMICO'!G95+VINCULACIÓN!G95+PLANEACION!G95+CALIDAD!G95+'ADMON REC'!G95</f>
        <v>6000</v>
      </c>
      <c r="H92" s="291">
        <f>ELECTROMECANICA!H95+ALIMENTARIAS!H95+'INOVACION AGRICOLA'!H95+'SERVICIOS ESCOLARES'!H95+'DESARROLLO ACADEMICO'!H95+VINCULACIÓN!H95+PLANEACION!H95+CALIDAD!H95+'ADMON REC'!H95</f>
        <v>0</v>
      </c>
      <c r="I92" s="284">
        <f>ALIMENTARIAS!I95</f>
        <v>0</v>
      </c>
      <c r="J92" s="365"/>
      <c r="K92" s="374"/>
      <c r="L92" s="368"/>
      <c r="M92" s="369"/>
      <c r="N92" s="368"/>
      <c r="O92" s="350"/>
    </row>
    <row r="93" spans="1:15" ht="33.75" x14ac:dyDescent="0.2">
      <c r="A93" s="282">
        <f>'PRES. TOTAL CALENARIZADA 2013'!A96</f>
        <v>3621</v>
      </c>
      <c r="B93" s="283" t="str">
        <f>'PRES. TOTAL CALENARIZADA 2013'!C96</f>
        <v>Difusión por radio, televisión y otros medios de mensajes comerciales para promover la venta de bienes o servicios</v>
      </c>
      <c r="C93" s="284">
        <f>'PRES. TOTAL CALENARIZADA 2013'!D96-K93</f>
        <v>405000</v>
      </c>
      <c r="D93" s="385"/>
      <c r="E93" s="290">
        <f>ELECTROMECANICA!E96+ALIMENTARIAS!E96+'INOVACION AGRICOLA'!E96+'SERVICIOS ESCOLARES'!E96+'DESARROLLO ACADEMICO'!E96+VINCULACIÓN!E96+PLANEACION!E96+CALIDAD!E96+'ADMON REC'!E96</f>
        <v>0</v>
      </c>
      <c r="F93" s="291">
        <f>ELECTROMECANICA!F96+ALIMENTARIAS!F96+'INOVACION AGRICOLA'!F96+'SERVICIOS ESCOLARES'!F96+'DESARROLLO ACADEMICO'!F96+VINCULACIÓN!F96+PLANEACION!F96+CALIDAD!F96+'ADMON REC'!F96</f>
        <v>0</v>
      </c>
      <c r="G93" s="291">
        <f>ELECTROMECANICA!G96+ALIMENTARIAS!G96+'INOVACION AGRICOLA'!G96+'SERVICIOS ESCOLARES'!G96+'DESARROLLO ACADEMICO'!G96+VINCULACIÓN!G96+PLANEACION!G96+CALIDAD!G96+'ADMON REC'!G96</f>
        <v>355000</v>
      </c>
      <c r="H93" s="291">
        <f>ELECTROMECANICA!H96+ALIMENTARIAS!H96+'INOVACION AGRICOLA'!H96+'SERVICIOS ESCOLARES'!H96+'DESARROLLO ACADEMICO'!H96+VINCULACIÓN!H96+PLANEACION!H96+CALIDAD!H96+'ADMON REC'!H96</f>
        <v>50000</v>
      </c>
      <c r="I93" s="284">
        <f>ALIMENTARIAS!I96</f>
        <v>0</v>
      </c>
      <c r="J93" s="365"/>
      <c r="K93" s="374"/>
      <c r="L93" s="368"/>
      <c r="M93" s="369"/>
      <c r="N93" s="368"/>
      <c r="O93" s="350"/>
    </row>
    <row r="94" spans="1:15" x14ac:dyDescent="0.2">
      <c r="A94" s="282">
        <f>'PRES. TOTAL CALENARIZADA 2013'!A97</f>
        <v>3711</v>
      </c>
      <c r="B94" s="283" t="str">
        <f>'PRES. TOTAL CALENARIZADA 2013'!C97</f>
        <v>Pasajes Aéreos</v>
      </c>
      <c r="C94" s="284">
        <f>'PRES. TOTAL CALENARIZADA 2013'!D97-K94</f>
        <v>35000</v>
      </c>
      <c r="D94" s="385"/>
      <c r="E94" s="290">
        <f>ELECTROMECANICA!E97+ALIMENTARIAS!E97+'INOVACION AGRICOLA'!E97+'SERVICIOS ESCOLARES'!E97+'DESARROLLO ACADEMICO'!E97+VINCULACIÓN!E97+PLANEACION!E97+CALIDAD!E97+'ADMON REC'!E97</f>
        <v>0</v>
      </c>
      <c r="F94" s="291">
        <f>ELECTROMECANICA!F97+ALIMENTARIAS!F97+'INOVACION AGRICOLA'!F97+'SERVICIOS ESCOLARES'!F97+'DESARROLLO ACADEMICO'!F97+VINCULACIÓN!F97+PLANEACION!F97+CALIDAD!F97+'ADMON REC'!F97</f>
        <v>0</v>
      </c>
      <c r="G94" s="291">
        <f>ELECTROMECANICA!G97+ALIMENTARIAS!G97+'INOVACION AGRICOLA'!G97+'SERVICIOS ESCOLARES'!G97+'DESARROLLO ACADEMICO'!G97+VINCULACIÓN!G97+PLANEACION!G97+CALIDAD!G97+'ADMON REC'!G97</f>
        <v>35000</v>
      </c>
      <c r="H94" s="291">
        <f>ELECTROMECANICA!H97+ALIMENTARIAS!H97+'INOVACION AGRICOLA'!H97+'SERVICIOS ESCOLARES'!H97+'DESARROLLO ACADEMICO'!H97+VINCULACIÓN!H97+PLANEACION!H97+CALIDAD!H97+'ADMON REC'!H97</f>
        <v>20000</v>
      </c>
      <c r="I94" s="284">
        <f>ALIMENTARIAS!I97</f>
        <v>0</v>
      </c>
      <c r="J94" s="365"/>
      <c r="K94" s="374">
        <v>20000</v>
      </c>
      <c r="L94" s="368"/>
      <c r="M94" s="369"/>
      <c r="N94" s="368"/>
      <c r="O94" s="350"/>
    </row>
    <row r="95" spans="1:15" x14ac:dyDescent="0.2">
      <c r="A95" s="282">
        <f>'PRES. TOTAL CALENARIZADA 2013'!A98</f>
        <v>3721</v>
      </c>
      <c r="B95" s="283" t="str">
        <f>'PRES. TOTAL CALENARIZADA 2013'!C98</f>
        <v>Pasajes Terrestres</v>
      </c>
      <c r="C95" s="284">
        <f>'PRES. TOTAL CALENARIZADA 2013'!D98-K95</f>
        <v>42000</v>
      </c>
      <c r="D95" s="385"/>
      <c r="E95" s="290">
        <f>ELECTROMECANICA!E98+ALIMENTARIAS!E98+'INOVACION AGRICOLA'!E98+'SERVICIOS ESCOLARES'!E98+'DESARROLLO ACADEMICO'!E98+VINCULACIÓN!E98+PLANEACION!E98+CALIDAD!E98+'ADMON REC'!E98</f>
        <v>0</v>
      </c>
      <c r="F95" s="291">
        <f>ELECTROMECANICA!F98+ALIMENTARIAS!F98+'INOVACION AGRICOLA'!F98+'SERVICIOS ESCOLARES'!F98+'DESARROLLO ACADEMICO'!F98+VINCULACIÓN!F98+PLANEACION!F98+CALIDAD!F98+'ADMON REC'!F98</f>
        <v>0</v>
      </c>
      <c r="G95" s="291">
        <f>ELECTROMECANICA!G98+ALIMENTARIAS!G98+'INOVACION AGRICOLA'!G98+'SERVICIOS ESCOLARES'!G98+'DESARROLLO ACADEMICO'!G98+VINCULACIÓN!G98+PLANEACION!G98+CALIDAD!G98+'ADMON REC'!G98</f>
        <v>27000</v>
      </c>
      <c r="H95" s="291">
        <f>ELECTROMECANICA!H98+ALIMENTARIAS!H98+'INOVACION AGRICOLA'!H98+'SERVICIOS ESCOLARES'!H98+'DESARROLLO ACADEMICO'!H98+VINCULACIÓN!H98+PLANEACION!H98+CALIDAD!H98+'ADMON REC'!H98</f>
        <v>15000</v>
      </c>
      <c r="I95" s="284">
        <f>ALIMENTARIAS!I98</f>
        <v>0</v>
      </c>
      <c r="J95" s="365"/>
      <c r="K95" s="374"/>
      <c r="L95" s="368"/>
      <c r="M95" s="369"/>
      <c r="N95" s="368"/>
      <c r="O95" s="350"/>
    </row>
    <row r="96" spans="1:15" x14ac:dyDescent="0.2">
      <c r="A96" s="282">
        <f>'PRES. TOTAL CALENARIZADA 2013'!A99</f>
        <v>3751</v>
      </c>
      <c r="B96" s="283" t="str">
        <f>'PRES. TOTAL CALENARIZADA 2013'!C99</f>
        <v>Viáticos en el país</v>
      </c>
      <c r="C96" s="284">
        <f>'PRES. TOTAL CALENARIZADA 2013'!D99-K96</f>
        <v>220000</v>
      </c>
      <c r="D96" s="385"/>
      <c r="E96" s="290">
        <f>ELECTROMECANICA!E99+ALIMENTARIAS!E99+'INOVACION AGRICOLA'!E99+'SERVICIOS ESCOLARES'!E99+'DESARROLLO ACADEMICO'!E99+VINCULACIÓN!E99+PLANEACION!E99+CALIDAD!E99+'ADMON REC'!E99</f>
        <v>0</v>
      </c>
      <c r="F96" s="291">
        <f>ELECTROMECANICA!F99+ALIMENTARIAS!F99+'INOVACION AGRICOLA'!F99+'SERVICIOS ESCOLARES'!F99+'DESARROLLO ACADEMICO'!F99+VINCULACIÓN!F99+PLANEACION!F99+CALIDAD!F99+'ADMON REC'!F99</f>
        <v>0</v>
      </c>
      <c r="G96" s="291">
        <f>ELECTROMECANICA!G99+ALIMENTARIAS!G99+'INOVACION AGRICOLA'!G99+'SERVICIOS ESCOLARES'!G99+'DESARROLLO ACADEMICO'!G99+VINCULACIÓN!G99+PLANEACION!G99+CALIDAD!G99+'ADMON REC'!G99</f>
        <v>140000</v>
      </c>
      <c r="H96" s="291">
        <f>ELECTROMECANICA!H99+ALIMENTARIAS!H99+'INOVACION AGRICOLA'!H99+'SERVICIOS ESCOLARES'!H99+'DESARROLLO ACADEMICO'!H99+VINCULACIÓN!H99+PLANEACION!H99+CALIDAD!H99+'ADMON REC'!H99</f>
        <v>80000</v>
      </c>
      <c r="I96" s="284">
        <f>ALIMENTARIAS!I99</f>
        <v>0</v>
      </c>
      <c r="J96" s="365"/>
      <c r="K96" s="374"/>
      <c r="L96" s="368"/>
      <c r="M96" s="369"/>
      <c r="N96" s="368"/>
      <c r="O96" s="350"/>
    </row>
    <row r="97" spans="1:15" x14ac:dyDescent="0.2">
      <c r="A97" s="282">
        <f>'PRES. TOTAL CALENARIZADA 2013'!A100</f>
        <v>3791</v>
      </c>
      <c r="B97" s="283" t="str">
        <f>'PRES. TOTAL CALENARIZADA 2013'!C100</f>
        <v>Traslado de personal</v>
      </c>
      <c r="C97" s="284">
        <f>'PRES. TOTAL CALENARIZADA 2013'!D100-K97</f>
        <v>140578.09</v>
      </c>
      <c r="D97" s="385"/>
      <c r="E97" s="290">
        <f>ELECTROMECANICA!E100+ALIMENTARIAS!E100+'INOVACION AGRICOLA'!E100+'SERVICIOS ESCOLARES'!E100+'DESARROLLO ACADEMICO'!E100+VINCULACIÓN!E100+PLANEACION!E100+CALIDAD!E100+'ADMON REC'!E100</f>
        <v>0</v>
      </c>
      <c r="F97" s="291">
        <f>ELECTROMECANICA!F100+ALIMENTARIAS!F100+'INOVACION AGRICOLA'!F100+'SERVICIOS ESCOLARES'!F100+'DESARROLLO ACADEMICO'!F100+VINCULACIÓN!F100+PLANEACION!F100+CALIDAD!F100+'ADMON REC'!F100</f>
        <v>0</v>
      </c>
      <c r="G97" s="291">
        <f>ELECTROMECANICA!G100+ALIMENTARIAS!G100+'INOVACION AGRICOLA'!G100+'SERVICIOS ESCOLARES'!G100+'DESARROLLO ACADEMICO'!G100+VINCULACIÓN!G100+PLANEACION!G100+CALIDAD!G100+'ADMON REC'!G100</f>
        <v>100000</v>
      </c>
      <c r="H97" s="291">
        <f>ELECTROMECANICA!H100+ALIMENTARIAS!H100+'INOVACION AGRICOLA'!H100+'SERVICIOS ESCOLARES'!H100+'DESARROLLO ACADEMICO'!H100+VINCULACIÓN!H100+PLANEACION!H100+CALIDAD!H100+'ADMON REC'!H100</f>
        <v>60000</v>
      </c>
      <c r="I97" s="284">
        <f>ALIMENTARIAS!I100</f>
        <v>578.09</v>
      </c>
      <c r="J97" s="365"/>
      <c r="K97" s="374">
        <v>20000</v>
      </c>
      <c r="L97" s="368"/>
      <c r="M97" s="369"/>
      <c r="N97" s="368"/>
      <c r="O97" s="350"/>
    </row>
    <row r="98" spans="1:15" x14ac:dyDescent="0.2">
      <c r="A98" s="282">
        <f>'PRES. TOTAL CALENARIZADA 2013'!A101</f>
        <v>3821</v>
      </c>
      <c r="B98" s="283" t="str">
        <f>'PRES. TOTAL CALENARIZADA 2013'!C101</f>
        <v>Gastos de orden social</v>
      </c>
      <c r="C98" s="284">
        <f>'PRES. TOTAL CALENARIZADA 2013'!D101-K98</f>
        <v>125000</v>
      </c>
      <c r="D98" s="385"/>
      <c r="E98" s="290">
        <f>ELECTROMECANICA!E101+ALIMENTARIAS!E101+'INOVACION AGRICOLA'!E101+'SERVICIOS ESCOLARES'!E101+'DESARROLLO ACADEMICO'!E101+VINCULACIÓN!E101+PLANEACION!E101+CALIDAD!E101+'ADMON REC'!E101</f>
        <v>0</v>
      </c>
      <c r="F98" s="291">
        <f>ELECTROMECANICA!F101+ALIMENTARIAS!F101+'INOVACION AGRICOLA'!F101+'SERVICIOS ESCOLARES'!F101+'DESARROLLO ACADEMICO'!F101+VINCULACIÓN!F101+PLANEACION!F101+CALIDAD!F101+'ADMON REC'!F101</f>
        <v>0</v>
      </c>
      <c r="G98" s="291">
        <f>ELECTROMECANICA!G101+ALIMENTARIAS!G101+'INOVACION AGRICOLA'!G101+'SERVICIOS ESCOLARES'!G101+'DESARROLLO ACADEMICO'!G101+VINCULACIÓN!G101+PLANEACION!G101+CALIDAD!G101+'ADMON REC'!G101</f>
        <v>70000</v>
      </c>
      <c r="H98" s="291">
        <f>ELECTROMECANICA!H101+ALIMENTARIAS!H101+'INOVACION AGRICOLA'!H101+'SERVICIOS ESCOLARES'!H101+'DESARROLLO ACADEMICO'!H101+VINCULACIÓN!H101+PLANEACION!H101+CALIDAD!H101+'ADMON REC'!H101</f>
        <v>55000</v>
      </c>
      <c r="I98" s="284">
        <f>ALIMENTARIAS!I101</f>
        <v>0</v>
      </c>
      <c r="J98" s="365"/>
      <c r="K98" s="374"/>
      <c r="L98" s="368"/>
      <c r="M98" s="369"/>
      <c r="N98" s="368"/>
      <c r="O98" s="350"/>
    </row>
    <row r="99" spans="1:15" x14ac:dyDescent="0.2">
      <c r="A99" s="282">
        <f>'PRES. TOTAL CALENARIZADA 2013'!A102</f>
        <v>3822</v>
      </c>
      <c r="B99" s="283" t="str">
        <f>'PRES. TOTAL CALENARIZADA 2013'!C102</f>
        <v>Gastos de orden cultural</v>
      </c>
      <c r="C99" s="284">
        <f>'PRES. TOTAL CALENARIZADA 2013'!D102-K99</f>
        <v>81000</v>
      </c>
      <c r="D99" s="385"/>
      <c r="E99" s="290">
        <f>ELECTROMECANICA!E102+ALIMENTARIAS!E102+'INOVACION AGRICOLA'!E102+'SERVICIOS ESCOLARES'!E102+'DESARROLLO ACADEMICO'!E102+VINCULACIÓN!E102+PLANEACION!E102+CALIDAD!E102+'ADMON REC'!E102</f>
        <v>0</v>
      </c>
      <c r="F99" s="291">
        <f>ELECTROMECANICA!F102+ALIMENTARIAS!F102+'INOVACION AGRICOLA'!F102+'SERVICIOS ESCOLARES'!F102+'DESARROLLO ACADEMICO'!F102+VINCULACIÓN!F102+PLANEACION!F102+CALIDAD!F102+'ADMON REC'!F102</f>
        <v>0</v>
      </c>
      <c r="G99" s="291">
        <f>ELECTROMECANICA!G102+ALIMENTARIAS!G102+'INOVACION AGRICOLA'!G102+'SERVICIOS ESCOLARES'!G102+'DESARROLLO ACADEMICO'!G102+VINCULACIÓN!G102+PLANEACION!G102+CALIDAD!G102+'ADMON REC'!G102</f>
        <v>41000</v>
      </c>
      <c r="H99" s="291">
        <f>ELECTROMECANICA!H102+ALIMENTARIAS!H102+'INOVACION AGRICOLA'!H102+'SERVICIOS ESCOLARES'!H102+'DESARROLLO ACADEMICO'!H102+VINCULACIÓN!H102+PLANEACION!H102+CALIDAD!H102+'ADMON REC'!H102</f>
        <v>94069.74</v>
      </c>
      <c r="I99" s="284">
        <f>ALIMENTARIAS!I102</f>
        <v>0</v>
      </c>
      <c r="J99" s="365"/>
      <c r="K99" s="374">
        <v>54069.74</v>
      </c>
      <c r="L99" s="368"/>
      <c r="M99" s="369"/>
      <c r="N99" s="368"/>
      <c r="O99" s="350"/>
    </row>
    <row r="100" spans="1:15" x14ac:dyDescent="0.2">
      <c r="A100" s="282">
        <f>'PRES. TOTAL CALENARIZADA 2013'!A103</f>
        <v>3792</v>
      </c>
      <c r="B100" s="283" t="str">
        <f>'PRES. TOTAL CALENARIZADA 2013'!C103</f>
        <v>Otros servicios de traslado y hospedaje</v>
      </c>
      <c r="C100" s="284">
        <f>'PRES. TOTAL CALENARIZADA 2013'!D103-K100</f>
        <v>40000</v>
      </c>
      <c r="D100" s="385"/>
      <c r="E100" s="290">
        <f>ELECTROMECANICA!E103+ALIMENTARIAS!E103+'INOVACION AGRICOLA'!E103+'SERVICIOS ESCOLARES'!E103+'DESARROLLO ACADEMICO'!E103+VINCULACIÓN!E103+PLANEACION!E103+CALIDAD!E103+'ADMON REC'!E103</f>
        <v>0</v>
      </c>
      <c r="F100" s="291">
        <f>ELECTROMECANICA!F103+ALIMENTARIAS!F103+'INOVACION AGRICOLA'!F103+'SERVICIOS ESCOLARES'!F103+'DESARROLLO ACADEMICO'!F103+VINCULACIÓN!F103+PLANEACION!F103+CALIDAD!F103+'ADMON REC'!F103</f>
        <v>0</v>
      </c>
      <c r="G100" s="291">
        <f>ELECTROMECANICA!G103+ALIMENTARIAS!G103+'INOVACION AGRICOLA'!G103+'SERVICIOS ESCOLARES'!G103+'DESARROLLO ACADEMICO'!G103+VINCULACIÓN!G103+PLANEACION!G103+CALIDAD!G103+'ADMON REC'!G103</f>
        <v>40000</v>
      </c>
      <c r="H100" s="291">
        <f>ELECTROMECANICA!H103+ALIMENTARIAS!H103+'INOVACION AGRICOLA'!H103+'SERVICIOS ESCOLARES'!H103+'DESARROLLO ACADEMICO'!H103+VINCULACIÓN!H103+PLANEACION!H103+CALIDAD!H103+'ADMON REC'!H103</f>
        <v>35000</v>
      </c>
      <c r="I100" s="284">
        <f>ALIMENTARIAS!I103</f>
        <v>0</v>
      </c>
      <c r="J100" s="365"/>
      <c r="K100" s="374">
        <v>35000</v>
      </c>
      <c r="L100" s="368"/>
      <c r="M100" s="369"/>
      <c r="N100" s="368"/>
      <c r="O100" s="350"/>
    </row>
    <row r="101" spans="1:15" ht="13.5" thickBot="1" x14ac:dyDescent="0.25">
      <c r="A101" s="285">
        <f>'PRES. TOTAL CALENARIZADA 2013'!A104</f>
        <v>3921</v>
      </c>
      <c r="B101" s="286" t="str">
        <f>'PRES. TOTAL CALENARIZADA 2013'!C104</f>
        <v>Impuestos y derechos</v>
      </c>
      <c r="C101" s="287">
        <f>'PRES. TOTAL CALENARIZADA 2013'!D104-K101</f>
        <v>24500</v>
      </c>
      <c r="D101" s="385"/>
      <c r="E101" s="292">
        <f>ELECTROMECANICA!E104+ALIMENTARIAS!E104+'INOVACION AGRICOLA'!E104+'SERVICIOS ESCOLARES'!E104+'DESARROLLO ACADEMICO'!E104+VINCULACIÓN!E104+PLANEACION!E104+CALIDAD!E104+'ADMON REC'!E104</f>
        <v>0</v>
      </c>
      <c r="F101" s="293">
        <f>ELECTROMECANICA!F104+ALIMENTARIAS!F104+'INOVACION AGRICOLA'!F104+'SERVICIOS ESCOLARES'!F104+'DESARROLLO ACADEMICO'!F104+VINCULACIÓN!F104+PLANEACION!F104+CALIDAD!F104+'ADMON REC'!F104</f>
        <v>0</v>
      </c>
      <c r="G101" s="293">
        <f>ELECTROMECANICA!G104+ALIMENTARIAS!G104+'INOVACION AGRICOLA'!G104+'SERVICIOS ESCOLARES'!G104+'DESARROLLO ACADEMICO'!G104+VINCULACIÓN!G104+PLANEACION!G104+CALIDAD!G104+'ADMON REC'!G104</f>
        <v>4500</v>
      </c>
      <c r="H101" s="293">
        <f>ELECTROMECANICA!H104+ALIMENTARIAS!H104+'INOVACION AGRICOLA'!H104+'SERVICIOS ESCOLARES'!H104+'DESARROLLO ACADEMICO'!H104+VINCULACIÓN!H104+PLANEACION!H104+CALIDAD!H104+'ADMON REC'!H104</f>
        <v>30018</v>
      </c>
      <c r="I101" s="287">
        <f>ALIMENTARIAS!I104</f>
        <v>0</v>
      </c>
      <c r="J101" s="365"/>
      <c r="K101" s="375">
        <v>10018</v>
      </c>
      <c r="L101" s="368"/>
      <c r="M101" s="369"/>
      <c r="N101" s="368"/>
      <c r="O101" s="350"/>
    </row>
    <row r="102" spans="1:15" ht="21.75" customHeight="1" thickBot="1" x14ac:dyDescent="0.25">
      <c r="A102" s="386"/>
      <c r="B102" s="387" t="s">
        <v>243</v>
      </c>
      <c r="C102" s="384">
        <f>SUM(C65:C101)</f>
        <v>3913430.1599999997</v>
      </c>
      <c r="D102" s="385"/>
      <c r="E102" s="384">
        <f t="shared" ref="E102:K102" si="2">SUM(E65:E101)</f>
        <v>323355.46000000002</v>
      </c>
      <c r="F102" s="384">
        <f t="shared" si="2"/>
        <v>1071958</v>
      </c>
      <c r="G102" s="384">
        <f t="shared" si="2"/>
        <v>957500</v>
      </c>
      <c r="H102" s="384">
        <f t="shared" si="2"/>
        <v>1620126.35</v>
      </c>
      <c r="I102" s="384">
        <f t="shared" si="2"/>
        <v>64578.09</v>
      </c>
      <c r="J102" s="384"/>
      <c r="K102" s="384">
        <f t="shared" si="2"/>
        <v>204087.74</v>
      </c>
      <c r="L102" s="368"/>
      <c r="M102" s="369"/>
      <c r="N102" s="368"/>
      <c r="O102" s="350"/>
    </row>
    <row r="103" spans="1:15" ht="18.75" customHeight="1" thickBot="1" x14ac:dyDescent="0.25">
      <c r="A103" s="307">
        <f>'PRES. TOTAL CALENARIZADA 2013'!A106</f>
        <v>4419</v>
      </c>
      <c r="B103" s="308" t="str">
        <f>'PRES. TOTAL CALENARIZADA 2013'!C106</f>
        <v>Erogaciones Contingentes</v>
      </c>
      <c r="C103" s="309">
        <f>'PRES. TOTAL CALENARIZADA 2013'!D106-K103</f>
        <v>285665.28000000003</v>
      </c>
      <c r="D103" s="385"/>
      <c r="E103" s="310">
        <f>ELECTROMECANICA!E106+ALIMENTARIAS!E106+'INOVACION AGRICOLA'!E106+'SERVICIOS ESCOLARES'!E106+'DESARROLLO ACADEMICO'!E106+VINCULACIÓN!E106+PLANEACION!E106+CALIDAD!E106+'ADMON REC'!E106</f>
        <v>543854.64</v>
      </c>
      <c r="F103" s="311">
        <f>ELECTROMECANICA!F106+ALIMENTARIAS!F106+'INOVACION AGRICOLA'!F106+'SERVICIOS ESCOLARES'!F106+'DESARROLLO ACADEMICO'!F106+VINCULACIÓN!F106+PLANEACION!F106+CALIDAD!F106+'ADMON REC'!F106</f>
        <v>0</v>
      </c>
      <c r="G103" s="311">
        <f>ELECTROMECANICA!G106+ALIMENTARIAS!G106+'INOVACION AGRICOLA'!G106+'SERVICIOS ESCOLARES'!G106+'DESARROLLO ACADEMICO'!G106+VINCULACIÓN!G106+PLANEACION!G106+CALIDAD!G106+'ADMON REC'!G106</f>
        <v>0</v>
      </c>
      <c r="H103" s="311">
        <f>ELECTROMECANICA!H106+ALIMENTARIAS!H106+'INOVACION AGRICOLA'!H106+'SERVICIOS ESCOLARES'!H106+'DESARROLLO ACADEMICO'!H106+VINCULACIÓN!H106+PLANEACION!H106+CALIDAD!H106+'ADMON REC'!H106</f>
        <v>0</v>
      </c>
      <c r="I103" s="309">
        <f>ALIMENTARIAS!I107</f>
        <v>0</v>
      </c>
      <c r="J103" s="365"/>
      <c r="K103" s="376">
        <v>258189.36</v>
      </c>
      <c r="L103" s="368"/>
      <c r="M103" s="368"/>
      <c r="N103" s="368"/>
      <c r="O103" s="350"/>
    </row>
    <row r="104" spans="1:15" ht="21" customHeight="1" thickBot="1" x14ac:dyDescent="0.25">
      <c r="A104" s="386"/>
      <c r="B104" s="387" t="s">
        <v>244</v>
      </c>
      <c r="C104" s="388">
        <f>SUM(C103)</f>
        <v>285665.28000000003</v>
      </c>
      <c r="D104" s="385"/>
      <c r="E104" s="388">
        <f t="shared" ref="E104:K104" si="3">SUM(E103)</f>
        <v>543854.64</v>
      </c>
      <c r="F104" s="388">
        <f t="shared" si="3"/>
        <v>0</v>
      </c>
      <c r="G104" s="388">
        <f t="shared" si="3"/>
        <v>0</v>
      </c>
      <c r="H104" s="388">
        <f t="shared" si="3"/>
        <v>0</v>
      </c>
      <c r="I104" s="388">
        <f t="shared" si="3"/>
        <v>0</v>
      </c>
      <c r="J104" s="365"/>
      <c r="K104" s="388">
        <f t="shared" si="3"/>
        <v>258189.36</v>
      </c>
      <c r="L104" s="368"/>
      <c r="M104" s="368"/>
      <c r="N104" s="368"/>
      <c r="O104" s="350"/>
    </row>
    <row r="105" spans="1:15" ht="22.5" x14ac:dyDescent="0.2">
      <c r="A105" s="294">
        <f>'PRES. TOTAL CALENARIZADA 2013'!A108</f>
        <v>5151</v>
      </c>
      <c r="B105" s="295" t="str">
        <f>'PRES. TOTAL CALENARIZADA 2013'!C108</f>
        <v>Equipo de computo y tecnología de la información</v>
      </c>
      <c r="C105" s="296">
        <f>'PRES. TOTAL CALENARIZADA 2013'!D108-K105</f>
        <v>0</v>
      </c>
      <c r="D105" s="385"/>
      <c r="E105" s="297">
        <f>ELECTROMECANICA!E108+ALIMENTARIAS!E108+'INOVACION AGRICOLA'!E108+'SERVICIOS ESCOLARES'!E108+'DESARROLLO ACADEMICO'!E108+VINCULACIÓN!E108+PLANEACION!E108+CALIDAD!E108+'ADMON REC'!E108</f>
        <v>0</v>
      </c>
      <c r="F105" s="298">
        <f>ELECTROMECANICA!F108+ALIMENTARIAS!F108+'INOVACION AGRICOLA'!F108+'SERVICIOS ESCOLARES'!F108+'DESARROLLO ACADEMICO'!F108+VINCULACIÓN!F108+PLANEACION!F108+CALIDAD!F108+'ADMON REC'!F108</f>
        <v>0</v>
      </c>
      <c r="G105" s="298">
        <f>ELECTROMECANICA!G108+ALIMENTARIAS!G108+'INOVACION AGRICOLA'!G108+'SERVICIOS ESCOLARES'!G108+'DESARROLLO ACADEMICO'!G108+VINCULACIÓN!G108+PLANEACION!G108+CALIDAD!G108+'ADMON REC'!G108</f>
        <v>0</v>
      </c>
      <c r="H105" s="298">
        <f>ELECTROMECANICA!H108+ALIMENTARIAS!H108+'INOVACION AGRICOLA'!H108+'SERVICIOS ESCOLARES'!H108+'DESARROLLO ACADEMICO'!H108+VINCULACIÓN!H108+PLANEACION!H108+CALIDAD!H108+'ADMON REC'!H108</f>
        <v>235000</v>
      </c>
      <c r="I105" s="296">
        <f>ALIMENTARIAS!I109</f>
        <v>0</v>
      </c>
      <c r="J105" s="365"/>
      <c r="K105" s="373">
        <v>235000</v>
      </c>
      <c r="L105" s="368"/>
      <c r="M105" s="368"/>
      <c r="N105" s="368"/>
      <c r="O105" s="350"/>
    </row>
    <row r="106" spans="1:15" x14ac:dyDescent="0.2">
      <c r="A106" s="282">
        <f>'PRES. TOTAL CALENARIZADA 2013'!A109</f>
        <v>5611</v>
      </c>
      <c r="B106" s="283" t="str">
        <f>'PRES. TOTAL CALENARIZADA 2013'!C109</f>
        <v>Maquinaria y equipo agropecuario</v>
      </c>
      <c r="C106" s="284">
        <f>'PRES. TOTAL CALENARIZADA 2013'!D109-K106</f>
        <v>519106.60000000003</v>
      </c>
      <c r="D106" s="385"/>
      <c r="E106" s="290">
        <f>ELECTROMECANICA!E109+ALIMENTARIAS!E109+'INOVACION AGRICOLA'!E109+'SERVICIOS ESCOLARES'!E109+'DESARROLLO ACADEMICO'!E109+VINCULACIÓN!E109+PLANEACION!E109+CALIDAD!E109+'ADMON REC'!E109</f>
        <v>0</v>
      </c>
      <c r="F106" s="291">
        <f>ELECTROMECANICA!F109+ALIMENTARIAS!F109+'INOVACION AGRICOLA'!F109+'SERVICIOS ESCOLARES'!F109+'DESARROLLO ACADEMICO'!F109+VINCULACIÓN!F109+PLANEACION!F109+CALIDAD!F109+'ADMON REC'!F109</f>
        <v>0</v>
      </c>
      <c r="G106" s="291">
        <f>ELECTROMECANICA!G109+ALIMENTARIAS!G109+'INOVACION AGRICOLA'!G109+'SERVICIOS ESCOLARES'!G109+'DESARROLLO ACADEMICO'!G109+VINCULACIÓN!G109+PLANEACION!G109+CALIDAD!G109+'ADMON REC'!G109</f>
        <v>93610.76</v>
      </c>
      <c r="H106" s="291">
        <f>ELECTROMECANICA!H109+ALIMENTARIAS!H109+'INOVACION AGRICOLA'!H109+'SERVICIOS ESCOLARES'!H109+'DESARROLLO ACADEMICO'!H109+VINCULACIÓN!H109+PLANEACION!H109+CALIDAD!H109+'ADMON REC'!H109</f>
        <v>425495.84</v>
      </c>
      <c r="I106" s="284">
        <f>ALIMENTARIAS!I110</f>
        <v>0</v>
      </c>
      <c r="J106" s="365"/>
      <c r="K106" s="374"/>
      <c r="L106" s="368"/>
      <c r="M106" s="368"/>
      <c r="N106" s="368"/>
      <c r="O106" s="350"/>
    </row>
    <row r="107" spans="1:15" x14ac:dyDescent="0.2">
      <c r="A107" s="282">
        <f>'PRES. TOTAL CALENARIZADA 2013'!A110</f>
        <v>5621</v>
      </c>
      <c r="B107" s="283" t="str">
        <f>'PRES. TOTAL CALENARIZADA 2013'!C110</f>
        <v>Maquinaria y equipo industrial</v>
      </c>
      <c r="C107" s="284">
        <f>'PRES. TOTAL CALENARIZADA 2013'!D110-K107</f>
        <v>0</v>
      </c>
      <c r="D107" s="385"/>
      <c r="E107" s="290">
        <f>ELECTROMECANICA!E110+ALIMENTARIAS!E110+'INOVACION AGRICOLA'!E110+'SERVICIOS ESCOLARES'!E110+'DESARROLLO ACADEMICO'!E110+VINCULACIÓN!E110+PLANEACION!E110+CALIDAD!E110+'ADMON REC'!E110</f>
        <v>0</v>
      </c>
      <c r="F107" s="291">
        <f>ELECTROMECANICA!F110+ALIMENTARIAS!F110+'INOVACION AGRICOLA'!F110+'SERVICIOS ESCOLARES'!F110+'DESARROLLO ACADEMICO'!F110+VINCULACIÓN!F110+PLANEACION!F110+CALIDAD!F110+'ADMON REC'!F110</f>
        <v>0</v>
      </c>
      <c r="G107" s="291">
        <f>ELECTROMECANICA!G110+ALIMENTARIAS!G110+'INOVACION AGRICOLA'!G110+'SERVICIOS ESCOLARES'!G110+'DESARROLLO ACADEMICO'!G110+VINCULACIÓN!G110+PLANEACION!G110+CALIDAD!G110+'ADMON REC'!G110</f>
        <v>0</v>
      </c>
      <c r="H107" s="291">
        <f>ELECTROMECANICA!H110+ALIMENTARIAS!H110+'INOVACION AGRICOLA'!H110+'SERVICIOS ESCOLARES'!H110+'DESARROLLO ACADEMICO'!H110+VINCULACIÓN!H110+PLANEACION!H110+CALIDAD!H110+'ADMON REC'!H110</f>
        <v>600000</v>
      </c>
      <c r="I107" s="284">
        <f>ALIMENTARIAS!I111</f>
        <v>0</v>
      </c>
      <c r="J107" s="365"/>
      <c r="K107" s="374">
        <v>600000</v>
      </c>
      <c r="L107" s="368"/>
      <c r="M107" s="368"/>
      <c r="N107" s="368"/>
      <c r="O107" s="350"/>
    </row>
    <row r="108" spans="1:15" ht="13.5" thickBot="1" x14ac:dyDescent="0.25">
      <c r="A108" s="285">
        <f>'PRES. TOTAL CALENARIZADA 2013'!A111</f>
        <v>5911</v>
      </c>
      <c r="B108" s="286" t="str">
        <f>'PRES. TOTAL CALENARIZADA 2013'!C111</f>
        <v>Software</v>
      </c>
      <c r="C108" s="287">
        <f>'PRES. TOTAL CALENARIZADA 2013'!D111-K108</f>
        <v>227736.84</v>
      </c>
      <c r="D108" s="385"/>
      <c r="E108" s="292">
        <f>ELECTROMECANICA!E111+ALIMENTARIAS!E111+'INOVACION AGRICOLA'!E111+'SERVICIOS ESCOLARES'!E111+'DESARROLLO ACADEMICO'!E111+VINCULACIÓN!E111+PLANEACION!E111+CALIDAD!E111+'ADMON REC'!E111</f>
        <v>0</v>
      </c>
      <c r="F108" s="293">
        <f>ELECTROMECANICA!F111+ALIMENTARIAS!F111+'INOVACION AGRICOLA'!F111+'SERVICIOS ESCOLARES'!F111+'DESARROLLO ACADEMICO'!F111+VINCULACIÓN!F111+PLANEACION!F111+CALIDAD!F111+'ADMON REC'!F111</f>
        <v>0</v>
      </c>
      <c r="G108" s="293">
        <f>ELECTROMECANICA!G111+ALIMENTARIAS!G111+'INOVACION AGRICOLA'!G111+'SERVICIOS ESCOLARES'!G111+'DESARROLLO ACADEMICO'!G111+VINCULACIÓN!G111+PLANEACION!G111+CALIDAD!G111+'ADMON REC'!G111</f>
        <v>0</v>
      </c>
      <c r="H108" s="293">
        <f>ELECTROMECANICA!H111+ALIMENTARIAS!H111+'INOVACION AGRICOLA'!H111+'SERVICIOS ESCOLARES'!H111+'DESARROLLO ACADEMICO'!H111+VINCULACIÓN!H111+PLANEACION!H111+CALIDAD!H111+'ADMON REC'!H111</f>
        <v>227736.84</v>
      </c>
      <c r="I108" s="287">
        <f>ALIMENTARIAS!I112</f>
        <v>0</v>
      </c>
      <c r="J108" s="365"/>
      <c r="K108" s="375"/>
      <c r="L108" s="368"/>
      <c r="M108" s="368"/>
      <c r="N108" s="368"/>
      <c r="O108" s="350"/>
    </row>
    <row r="109" spans="1:15" ht="18.75" customHeight="1" thickBot="1" x14ac:dyDescent="0.25">
      <c r="A109" s="378"/>
      <c r="B109" s="387" t="s">
        <v>247</v>
      </c>
      <c r="C109" s="388">
        <f>SUM(C105:C108)</f>
        <v>746843.44000000006</v>
      </c>
      <c r="D109" s="380"/>
      <c r="E109" s="388">
        <f t="shared" ref="E109:K109" si="4">SUM(E105:E108)</f>
        <v>0</v>
      </c>
      <c r="F109" s="388">
        <f t="shared" si="4"/>
        <v>0</v>
      </c>
      <c r="G109" s="388">
        <f t="shared" si="4"/>
        <v>93610.76</v>
      </c>
      <c r="H109" s="388">
        <f t="shared" si="4"/>
        <v>1488232.6800000002</v>
      </c>
      <c r="I109" s="388">
        <f t="shared" si="4"/>
        <v>0</v>
      </c>
      <c r="J109" s="365"/>
      <c r="K109" s="388">
        <f t="shared" si="4"/>
        <v>835000</v>
      </c>
      <c r="L109" s="368"/>
      <c r="M109" s="368"/>
      <c r="N109" s="368"/>
      <c r="O109" s="350"/>
    </row>
    <row r="110" spans="1:15" ht="34.5" customHeight="1" thickBot="1" x14ac:dyDescent="0.25">
      <c r="A110" s="463" t="s">
        <v>248</v>
      </c>
      <c r="B110" s="464"/>
      <c r="C110" s="312">
        <f>C25+C64+C102+C104+C109</f>
        <v>20680681.340000004</v>
      </c>
      <c r="D110" s="389"/>
      <c r="E110" s="313">
        <f>E25+E64+E102+E104+E109</f>
        <v>8300946.1899999995</v>
      </c>
      <c r="F110" s="314">
        <f>F25+F64+F102+F104+F109</f>
        <v>8088899.5300000003</v>
      </c>
      <c r="G110" s="314">
        <f>G25+G64+G102+G104+G109</f>
        <v>1168110.76</v>
      </c>
      <c r="H110" s="314">
        <f>H25+H64+H102+H104+H109</f>
        <v>4566228.83</v>
      </c>
      <c r="I110" s="312">
        <f>I25+I64+I102+I104+I109</f>
        <v>78773.12999999999</v>
      </c>
      <c r="J110" s="361"/>
      <c r="K110" s="377">
        <f>K25+K64+K102+K104+K109</f>
        <v>1602277.1</v>
      </c>
      <c r="L110" s="368"/>
      <c r="M110" s="368"/>
      <c r="N110" s="368"/>
      <c r="O110" s="350"/>
    </row>
    <row r="111" spans="1:15" ht="26.25" customHeight="1" x14ac:dyDescent="0.2">
      <c r="A111" s="458" t="s">
        <v>260</v>
      </c>
      <c r="B111" s="465"/>
      <c r="C111" s="465"/>
      <c r="D111" s="465"/>
      <c r="E111" s="465"/>
      <c r="F111" s="465"/>
      <c r="G111" s="465"/>
      <c r="H111" s="465"/>
      <c r="I111" s="465"/>
      <c r="J111" s="366"/>
      <c r="K111" s="366"/>
      <c r="L111" s="328"/>
      <c r="N111" s="328"/>
    </row>
    <row r="112" spans="1:15" ht="14.25" customHeight="1" x14ac:dyDescent="0.2">
      <c r="A112" s="466" t="s">
        <v>259</v>
      </c>
      <c r="B112" s="467"/>
      <c r="C112" s="467"/>
      <c r="D112" s="467"/>
      <c r="E112" s="467"/>
      <c r="F112" s="467"/>
      <c r="G112" s="467"/>
      <c r="H112" s="467"/>
      <c r="I112" s="467"/>
      <c r="J112" s="367"/>
      <c r="K112" s="367"/>
      <c r="L112" s="328"/>
      <c r="N112" s="328"/>
    </row>
    <row r="113" spans="1:14" x14ac:dyDescent="0.2">
      <c r="A113" s="331" t="s">
        <v>235</v>
      </c>
      <c r="B113" s="333"/>
      <c r="C113" s="250">
        <f>C25+C64+C102+C104+C109</f>
        <v>20680681.340000004</v>
      </c>
      <c r="E113" s="250">
        <f t="shared" ref="E113:I113" si="5">E25+E64+E102+E104+E109</f>
        <v>8300946.1899999995</v>
      </c>
      <c r="F113" s="250">
        <f t="shared" si="5"/>
        <v>8088899.5300000003</v>
      </c>
      <c r="G113" s="250">
        <f t="shared" si="5"/>
        <v>1168110.76</v>
      </c>
      <c r="H113" s="250">
        <f t="shared" si="5"/>
        <v>4566228.83</v>
      </c>
      <c r="I113" s="250">
        <f t="shared" si="5"/>
        <v>78773.12999999999</v>
      </c>
      <c r="J113" s="360"/>
      <c r="K113" s="365"/>
      <c r="L113" s="364"/>
      <c r="M113" s="364"/>
      <c r="N113" s="364"/>
    </row>
    <row r="114" spans="1:14" x14ac:dyDescent="0.2">
      <c r="C114" s="120"/>
      <c r="E114" s="120"/>
      <c r="F114" s="120"/>
      <c r="G114" s="120"/>
      <c r="H114" s="120"/>
      <c r="I114" s="120"/>
      <c r="J114" s="253"/>
      <c r="K114" s="362"/>
      <c r="L114" s="328"/>
      <c r="N114" s="328"/>
    </row>
    <row r="115" spans="1:14" x14ac:dyDescent="0.2">
      <c r="C115" s="120"/>
      <c r="E115" s="120"/>
      <c r="F115" s="120"/>
      <c r="G115" s="120"/>
      <c r="H115" s="120"/>
      <c r="I115" s="120"/>
      <c r="J115" s="253"/>
      <c r="K115" s="362"/>
      <c r="L115" s="328"/>
      <c r="N115" s="328"/>
    </row>
    <row r="116" spans="1:14" x14ac:dyDescent="0.2">
      <c r="E116" s="253">
        <f>'Presupuestacion estatal'!D121</f>
        <v>8380946.1900000004</v>
      </c>
      <c r="F116" s="253">
        <f>'Presupuestacion federal'!D121</f>
        <v>8088899.5300000003</v>
      </c>
      <c r="G116" s="120">
        <f>'calculo de ingresos propios'!D121</f>
        <v>1168110.76</v>
      </c>
      <c r="H116" s="120">
        <f>'remanentes 2012'!D121</f>
        <v>4566228.83</v>
      </c>
      <c r="I116" s="120">
        <f>COECYTJAL!D121</f>
        <v>78773.12999999999</v>
      </c>
      <c r="J116" s="253"/>
      <c r="K116" s="362"/>
      <c r="L116" s="328"/>
      <c r="N116" s="328"/>
    </row>
    <row r="117" spans="1:14" x14ac:dyDescent="0.2">
      <c r="C117" s="120"/>
      <c r="E117" s="120"/>
      <c r="F117" s="120"/>
      <c r="G117" s="120"/>
      <c r="H117" s="120"/>
      <c r="I117" s="120"/>
      <c r="J117" s="253"/>
      <c r="K117" s="362"/>
      <c r="L117" s="328"/>
      <c r="N117" s="328"/>
    </row>
    <row r="118" spans="1:14" x14ac:dyDescent="0.2">
      <c r="C118" s="120"/>
      <c r="E118" s="120"/>
      <c r="F118" s="120"/>
      <c r="G118" s="120"/>
      <c r="H118" s="120"/>
      <c r="I118" s="120"/>
      <c r="J118" s="253"/>
      <c r="K118" s="362"/>
      <c r="L118" s="328"/>
      <c r="N118" s="328"/>
    </row>
    <row r="119" spans="1:14" ht="13.5" thickBot="1" x14ac:dyDescent="0.25">
      <c r="C119" s="120"/>
      <c r="E119" s="120"/>
      <c r="F119" s="120"/>
      <c r="G119" s="120"/>
      <c r="H119" s="120"/>
      <c r="I119" s="120"/>
      <c r="J119" s="253"/>
      <c r="K119" s="362"/>
      <c r="L119" s="328"/>
      <c r="N119" s="328"/>
    </row>
    <row r="120" spans="1:14" ht="13.5" thickBot="1" x14ac:dyDescent="0.25">
      <c r="C120" s="255" t="s">
        <v>236</v>
      </c>
      <c r="D120" s="256"/>
      <c r="E120" s="257">
        <f>E113-E116</f>
        <v>-80000.000000000931</v>
      </c>
      <c r="F120" s="257">
        <f>F113-F116</f>
        <v>0</v>
      </c>
      <c r="G120" s="257">
        <f>G113-G116</f>
        <v>0</v>
      </c>
      <c r="H120" s="257">
        <f>H113-H116</f>
        <v>0</v>
      </c>
      <c r="I120" s="258">
        <f>I113-I116</f>
        <v>0</v>
      </c>
      <c r="J120" s="362"/>
      <c r="K120" s="362"/>
      <c r="L120" s="328"/>
      <c r="N120" s="328"/>
    </row>
    <row r="121" spans="1:14" x14ac:dyDescent="0.2">
      <c r="L121" s="328"/>
      <c r="N121" s="328"/>
    </row>
    <row r="122" spans="1:14" x14ac:dyDescent="0.2">
      <c r="C122" s="120"/>
      <c r="E122" s="120"/>
      <c r="F122" s="120"/>
      <c r="G122" s="120"/>
      <c r="H122" s="120"/>
      <c r="I122" s="120"/>
      <c r="J122" s="253"/>
      <c r="K122" s="362"/>
      <c r="L122" s="328"/>
      <c r="N122" s="328"/>
    </row>
    <row r="123" spans="1:14" x14ac:dyDescent="0.2">
      <c r="C123" s="120"/>
      <c r="E123" s="120"/>
      <c r="F123" s="120"/>
      <c r="G123" s="120"/>
      <c r="H123" s="120"/>
      <c r="I123" s="120"/>
      <c r="J123" s="253"/>
      <c r="K123" s="362"/>
      <c r="L123" s="328"/>
      <c r="N123" s="328"/>
    </row>
    <row r="124" spans="1:14" x14ac:dyDescent="0.2">
      <c r="C124" s="120"/>
      <c r="E124" s="120"/>
      <c r="F124" s="120"/>
      <c r="G124" s="120"/>
      <c r="H124" s="120"/>
      <c r="I124" s="120"/>
      <c r="J124" s="253"/>
      <c r="K124" s="362"/>
      <c r="L124" s="328"/>
      <c r="N124" s="328"/>
    </row>
    <row r="125" spans="1:14" x14ac:dyDescent="0.2">
      <c r="C125" s="120"/>
      <c r="E125" s="120"/>
      <c r="F125" s="120"/>
      <c r="G125" s="120"/>
      <c r="H125" s="120"/>
      <c r="I125" s="120"/>
      <c r="J125" s="253"/>
      <c r="K125" s="362"/>
      <c r="L125" s="328"/>
      <c r="N125" s="328"/>
    </row>
    <row r="126" spans="1:14" x14ac:dyDescent="0.2">
      <c r="C126" s="120"/>
      <c r="E126" s="120"/>
      <c r="F126" s="120"/>
      <c r="G126" s="120"/>
      <c r="H126" s="120"/>
      <c r="I126" s="120"/>
      <c r="J126" s="253"/>
      <c r="K126" s="362"/>
      <c r="L126" s="328"/>
      <c r="N126" s="328"/>
    </row>
    <row r="127" spans="1:14" x14ac:dyDescent="0.2">
      <c r="C127" s="120"/>
      <c r="E127" s="120"/>
      <c r="F127" s="120"/>
      <c r="G127" s="120"/>
      <c r="H127" s="120"/>
      <c r="I127" s="120"/>
      <c r="J127" s="253"/>
      <c r="K127" s="362"/>
      <c r="L127" s="328"/>
      <c r="N127" s="328"/>
    </row>
    <row r="128" spans="1:14" x14ac:dyDescent="0.2">
      <c r="C128" s="120"/>
      <c r="E128" s="120"/>
      <c r="F128" s="120"/>
      <c r="G128" s="120"/>
      <c r="H128" s="120"/>
      <c r="I128" s="120"/>
      <c r="J128" s="253"/>
      <c r="K128" s="362"/>
      <c r="L128" s="328"/>
      <c r="N128" s="328"/>
    </row>
    <row r="129" spans="3:14" x14ac:dyDescent="0.2">
      <c r="C129" s="120"/>
      <c r="E129" s="120"/>
      <c r="F129" s="120"/>
      <c r="G129" s="120"/>
      <c r="H129" s="120"/>
      <c r="I129" s="120"/>
      <c r="J129" s="253"/>
      <c r="K129" s="362"/>
      <c r="L129" s="328"/>
      <c r="N129" s="328"/>
    </row>
    <row r="130" spans="3:14" x14ac:dyDescent="0.2">
      <c r="C130" s="120"/>
      <c r="E130" s="120"/>
      <c r="F130" s="120"/>
      <c r="G130" s="120"/>
      <c r="H130" s="120"/>
      <c r="I130" s="120"/>
      <c r="J130" s="253"/>
      <c r="K130" s="362"/>
      <c r="L130" s="328"/>
      <c r="N130" s="328"/>
    </row>
    <row r="131" spans="3:14" x14ac:dyDescent="0.2">
      <c r="C131" s="120"/>
      <c r="E131" s="120"/>
      <c r="F131" s="120"/>
      <c r="G131" s="120"/>
      <c r="H131" s="120"/>
      <c r="I131" s="120"/>
      <c r="J131" s="253"/>
      <c r="K131" s="362"/>
      <c r="L131" s="328"/>
      <c r="N131" s="328"/>
    </row>
    <row r="132" spans="3:14" x14ac:dyDescent="0.2">
      <c r="C132" s="120"/>
      <c r="E132" s="120"/>
      <c r="F132" s="120"/>
      <c r="G132" s="120"/>
      <c r="H132" s="120"/>
      <c r="I132" s="120"/>
      <c r="J132" s="253"/>
      <c r="K132" s="362"/>
      <c r="L132" s="328"/>
      <c r="N132" s="328"/>
    </row>
    <row r="133" spans="3:14" x14ac:dyDescent="0.2">
      <c r="C133" s="120"/>
      <c r="E133" s="120"/>
      <c r="F133" s="120"/>
      <c r="G133" s="120"/>
      <c r="H133" s="120"/>
      <c r="I133" s="120"/>
      <c r="J133" s="253"/>
      <c r="K133" s="362"/>
      <c r="L133" s="328"/>
      <c r="N133" s="328"/>
    </row>
    <row r="134" spans="3:14" x14ac:dyDescent="0.2">
      <c r="C134" s="120"/>
      <c r="E134" s="120"/>
      <c r="F134" s="120"/>
      <c r="G134" s="120"/>
      <c r="H134" s="120"/>
      <c r="I134" s="120"/>
      <c r="J134" s="253"/>
      <c r="K134" s="362"/>
      <c r="L134" s="328"/>
      <c r="N134" s="328"/>
    </row>
    <row r="135" spans="3:14" x14ac:dyDescent="0.2">
      <c r="C135" s="120"/>
      <c r="E135" s="120"/>
      <c r="F135" s="120"/>
      <c r="G135" s="120"/>
      <c r="H135" s="120"/>
      <c r="I135" s="120"/>
      <c r="J135" s="253"/>
      <c r="K135" s="362"/>
      <c r="L135" s="328"/>
      <c r="N135" s="328"/>
    </row>
    <row r="136" spans="3:14" x14ac:dyDescent="0.2">
      <c r="C136" s="120"/>
      <c r="E136" s="120"/>
      <c r="F136" s="120"/>
      <c r="G136" s="120"/>
      <c r="H136" s="120"/>
      <c r="I136" s="120"/>
      <c r="J136" s="253"/>
      <c r="K136" s="362"/>
      <c r="L136" s="328"/>
      <c r="N136" s="328"/>
    </row>
    <row r="137" spans="3:14" x14ac:dyDescent="0.2">
      <c r="C137" s="120"/>
      <c r="E137" s="120"/>
      <c r="F137" s="120"/>
      <c r="G137" s="120"/>
      <c r="H137" s="120"/>
      <c r="I137" s="120"/>
      <c r="J137" s="253"/>
      <c r="K137" s="362"/>
      <c r="L137" s="328"/>
      <c r="N137" s="328"/>
    </row>
    <row r="138" spans="3:14" x14ac:dyDescent="0.2">
      <c r="C138" s="120"/>
      <c r="E138" s="120"/>
      <c r="F138" s="120"/>
      <c r="G138" s="120"/>
      <c r="H138" s="120"/>
      <c r="I138" s="120"/>
      <c r="J138" s="253"/>
      <c r="K138" s="362"/>
      <c r="L138" s="328"/>
      <c r="N138" s="328"/>
    </row>
    <row r="139" spans="3:14" x14ac:dyDescent="0.2">
      <c r="C139" s="120"/>
      <c r="E139" s="120"/>
      <c r="F139" s="120"/>
      <c r="G139" s="120"/>
      <c r="H139" s="120"/>
      <c r="I139" s="120"/>
      <c r="J139" s="253"/>
      <c r="K139" s="362"/>
      <c r="L139" s="328"/>
      <c r="N139" s="328"/>
    </row>
    <row r="140" spans="3:14" x14ac:dyDescent="0.2">
      <c r="C140" s="120"/>
      <c r="E140" s="120"/>
      <c r="F140" s="120"/>
      <c r="G140" s="120"/>
      <c r="H140" s="120"/>
      <c r="I140" s="120"/>
      <c r="J140" s="253"/>
      <c r="K140" s="362"/>
      <c r="L140" s="328"/>
      <c r="N140" s="328"/>
    </row>
    <row r="141" spans="3:14" x14ac:dyDescent="0.2">
      <c r="C141" s="120"/>
      <c r="E141" s="120"/>
      <c r="F141" s="120"/>
      <c r="G141" s="120"/>
      <c r="H141" s="120"/>
      <c r="I141" s="120"/>
      <c r="J141" s="253"/>
      <c r="K141" s="362"/>
      <c r="L141" s="328"/>
      <c r="N141" s="328"/>
    </row>
    <row r="142" spans="3:14" x14ac:dyDescent="0.2">
      <c r="C142" s="120"/>
      <c r="E142" s="120"/>
      <c r="F142" s="120"/>
      <c r="G142" s="120"/>
      <c r="H142" s="120"/>
      <c r="I142" s="120"/>
      <c r="J142" s="253"/>
      <c r="K142" s="362"/>
      <c r="L142" s="328"/>
      <c r="N142" s="328"/>
    </row>
    <row r="143" spans="3:14" x14ac:dyDescent="0.2">
      <c r="C143" s="120"/>
      <c r="E143" s="120"/>
      <c r="F143" s="120"/>
      <c r="G143" s="120"/>
      <c r="H143" s="120"/>
      <c r="I143" s="120"/>
      <c r="J143" s="253"/>
      <c r="K143" s="362"/>
      <c r="L143" s="328"/>
      <c r="N143" s="328"/>
    </row>
    <row r="144" spans="3:14" x14ac:dyDescent="0.2">
      <c r="C144" s="120"/>
      <c r="E144" s="120"/>
      <c r="F144" s="120"/>
      <c r="G144" s="120"/>
      <c r="H144" s="120"/>
      <c r="I144" s="120"/>
      <c r="J144" s="253"/>
      <c r="K144" s="362"/>
      <c r="L144" s="328"/>
      <c r="N144" s="328"/>
    </row>
    <row r="145" spans="3:14" x14ac:dyDescent="0.2">
      <c r="C145" s="120"/>
      <c r="E145" s="120"/>
      <c r="F145" s="120"/>
      <c r="G145" s="120"/>
      <c r="H145" s="120"/>
      <c r="I145" s="120"/>
      <c r="J145" s="253"/>
      <c r="K145" s="362"/>
      <c r="L145" s="328"/>
      <c r="N145" s="328"/>
    </row>
    <row r="146" spans="3:14" x14ac:dyDescent="0.2">
      <c r="C146" s="120"/>
      <c r="E146" s="120"/>
      <c r="F146" s="120"/>
      <c r="G146" s="120"/>
      <c r="H146" s="120"/>
      <c r="I146" s="120"/>
      <c r="J146" s="253"/>
      <c r="K146" s="362"/>
      <c r="L146" s="328"/>
      <c r="N146" s="328"/>
    </row>
    <row r="147" spans="3:14" x14ac:dyDescent="0.2">
      <c r="C147" s="120"/>
      <c r="E147" s="120"/>
      <c r="F147" s="120"/>
      <c r="G147" s="120"/>
      <c r="H147" s="120"/>
      <c r="I147" s="120"/>
      <c r="J147" s="253"/>
      <c r="K147" s="362"/>
      <c r="L147" s="328"/>
      <c r="N147" s="328"/>
    </row>
    <row r="148" spans="3:14" x14ac:dyDescent="0.2">
      <c r="C148" s="120"/>
      <c r="E148" s="120"/>
      <c r="F148" s="120"/>
      <c r="G148" s="120"/>
      <c r="H148" s="120"/>
      <c r="I148" s="120"/>
      <c r="J148" s="253"/>
      <c r="K148" s="362"/>
      <c r="L148" s="328"/>
      <c r="N148" s="328"/>
    </row>
    <row r="149" spans="3:14" x14ac:dyDescent="0.2">
      <c r="C149" s="120"/>
      <c r="E149" s="120"/>
      <c r="F149" s="120"/>
      <c r="G149" s="120"/>
      <c r="H149" s="120"/>
      <c r="I149" s="120"/>
      <c r="J149" s="253"/>
      <c r="K149" s="362"/>
      <c r="L149" s="328"/>
      <c r="N149" s="328"/>
    </row>
    <row r="150" spans="3:14" x14ac:dyDescent="0.2">
      <c r="C150" s="120"/>
      <c r="E150" s="120"/>
      <c r="F150" s="120"/>
      <c r="G150" s="120"/>
      <c r="H150" s="120"/>
      <c r="I150" s="120"/>
      <c r="J150" s="253"/>
      <c r="K150" s="362"/>
      <c r="L150" s="328"/>
      <c r="N150" s="328"/>
    </row>
    <row r="151" spans="3:14" x14ac:dyDescent="0.2">
      <c r="C151" s="120"/>
      <c r="E151" s="120"/>
      <c r="F151" s="120"/>
      <c r="G151" s="120"/>
      <c r="H151" s="120"/>
      <c r="I151" s="120"/>
      <c r="J151" s="253"/>
      <c r="K151" s="362"/>
      <c r="L151" s="328"/>
      <c r="N151" s="328"/>
    </row>
    <row r="152" spans="3:14" x14ac:dyDescent="0.2">
      <c r="C152" s="120"/>
      <c r="E152" s="120"/>
      <c r="F152" s="120"/>
      <c r="G152" s="120"/>
      <c r="H152" s="120"/>
      <c r="I152" s="120"/>
      <c r="J152" s="253"/>
      <c r="K152" s="362"/>
      <c r="L152" s="328"/>
      <c r="N152" s="328"/>
    </row>
    <row r="153" spans="3:14" x14ac:dyDescent="0.2">
      <c r="C153" s="120"/>
      <c r="E153" s="120"/>
      <c r="F153" s="120"/>
      <c r="G153" s="120"/>
      <c r="H153" s="120"/>
      <c r="I153" s="120"/>
      <c r="J153" s="253"/>
      <c r="K153" s="362"/>
      <c r="L153" s="328"/>
      <c r="N153" s="328"/>
    </row>
    <row r="154" spans="3:14" x14ac:dyDescent="0.2">
      <c r="C154" s="120"/>
      <c r="E154" s="120"/>
      <c r="F154" s="120"/>
      <c r="G154" s="120"/>
      <c r="H154" s="120"/>
      <c r="I154" s="120"/>
      <c r="J154" s="253"/>
      <c r="K154" s="362"/>
      <c r="L154" s="328"/>
      <c r="N154" s="328"/>
    </row>
    <row r="155" spans="3:14" x14ac:dyDescent="0.2">
      <c r="C155" s="120"/>
      <c r="E155" s="120"/>
      <c r="F155" s="120"/>
      <c r="G155" s="120"/>
      <c r="H155" s="120"/>
      <c r="I155" s="120"/>
      <c r="J155" s="253"/>
      <c r="K155" s="362"/>
      <c r="L155" s="328"/>
      <c r="N155" s="328"/>
    </row>
    <row r="156" spans="3:14" x14ac:dyDescent="0.2">
      <c r="C156" s="120"/>
      <c r="E156" s="120"/>
      <c r="F156" s="120"/>
      <c r="G156" s="120"/>
      <c r="H156" s="120"/>
      <c r="I156" s="120"/>
      <c r="J156" s="253"/>
      <c r="K156" s="362"/>
      <c r="L156" s="328"/>
      <c r="N156" s="328"/>
    </row>
    <row r="157" spans="3:14" x14ac:dyDescent="0.2">
      <c r="C157" s="120"/>
      <c r="E157" s="120"/>
      <c r="F157" s="120"/>
      <c r="G157" s="120"/>
      <c r="H157" s="120"/>
      <c r="I157" s="120"/>
      <c r="J157" s="253"/>
      <c r="K157" s="362"/>
      <c r="L157" s="328"/>
      <c r="N157" s="328"/>
    </row>
    <row r="158" spans="3:14" x14ac:dyDescent="0.2">
      <c r="C158" s="120"/>
      <c r="E158" s="120"/>
      <c r="F158" s="120"/>
      <c r="G158" s="120"/>
      <c r="H158" s="120"/>
      <c r="I158" s="120"/>
      <c r="J158" s="253"/>
      <c r="K158" s="362"/>
      <c r="L158" s="328"/>
      <c r="N158" s="328"/>
    </row>
    <row r="159" spans="3:14" x14ac:dyDescent="0.2">
      <c r="C159" s="120"/>
      <c r="E159" s="120"/>
      <c r="F159" s="120"/>
      <c r="G159" s="120"/>
      <c r="H159" s="120"/>
      <c r="I159" s="120"/>
      <c r="J159" s="253"/>
      <c r="K159" s="362"/>
      <c r="L159" s="328"/>
      <c r="N159" s="328"/>
    </row>
    <row r="160" spans="3:14" x14ac:dyDescent="0.2">
      <c r="C160" s="120"/>
      <c r="E160" s="120"/>
      <c r="F160" s="120"/>
      <c r="G160" s="120"/>
      <c r="H160" s="120"/>
      <c r="I160" s="120"/>
      <c r="J160" s="253"/>
      <c r="K160" s="362"/>
      <c r="L160" s="328"/>
      <c r="N160" s="328"/>
    </row>
  </sheetData>
  <mergeCells count="5">
    <mergeCell ref="A1:L4"/>
    <mergeCell ref="E8:I8"/>
    <mergeCell ref="A110:B110"/>
    <mergeCell ref="A111:I111"/>
    <mergeCell ref="A112:I1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4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2"/>
  <sheetViews>
    <sheetView showGridLines="0" view="pageBreakPreview" topLeftCell="A22" zoomScale="80" zoomScaleSheetLayoutView="80" workbookViewId="0">
      <selection activeCell="E84" sqref="E84"/>
    </sheetView>
  </sheetViews>
  <sheetFormatPr baseColWidth="10" defaultRowHeight="12.75" x14ac:dyDescent="0.2"/>
  <cols>
    <col min="1" max="1" width="6.28515625" style="1" bestFit="1" customWidth="1"/>
    <col min="2" max="2" width="6.28515625" style="1" customWidth="1"/>
    <col min="3" max="3" width="37.7109375" style="57" customWidth="1"/>
    <col min="4" max="4" width="21.28515625" style="3" bestFit="1" customWidth="1"/>
    <col min="5" max="5" width="17.28515625" style="2" bestFit="1" customWidth="1"/>
    <col min="6" max="6" width="16.140625" style="2" bestFit="1" customWidth="1"/>
    <col min="7" max="7" width="17" style="2" bestFit="1" customWidth="1"/>
    <col min="8" max="11" width="16.28515625" style="2" bestFit="1" customWidth="1"/>
    <col min="12" max="12" width="17.28515625" style="2" bestFit="1" customWidth="1"/>
    <col min="13" max="13" width="16.5703125" style="2" bestFit="1" customWidth="1"/>
    <col min="14" max="14" width="15.85546875" style="2" bestFit="1" customWidth="1"/>
    <col min="15" max="15" width="16.5703125" style="2" bestFit="1" customWidth="1"/>
    <col min="16" max="16" width="14.5703125" style="2" customWidth="1"/>
    <col min="17" max="17" width="35" style="43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K1" s="468" t="s">
        <v>262</v>
      </c>
      <c r="L1" s="468"/>
      <c r="M1" s="468"/>
      <c r="N1" s="468"/>
      <c r="O1" s="468"/>
      <c r="P1" s="468"/>
      <c r="Q1" s="468"/>
      <c r="V1" s="7"/>
      <c r="W1" s="7"/>
    </row>
    <row r="2" spans="1:23" ht="27" customHeight="1" x14ac:dyDescent="0.2">
      <c r="A2" s="8"/>
      <c r="B2" s="8"/>
      <c r="C2" s="58"/>
      <c r="E2" s="8"/>
      <c r="F2" s="8"/>
      <c r="G2" s="8"/>
      <c r="H2" s="8"/>
      <c r="I2" s="8"/>
      <c r="J2" s="8"/>
      <c r="K2" s="469" t="s">
        <v>258</v>
      </c>
      <c r="L2" s="469"/>
      <c r="M2" s="469"/>
      <c r="N2" s="469"/>
      <c r="O2" s="469"/>
      <c r="P2" s="469"/>
      <c r="Q2" s="469"/>
      <c r="V2" s="7"/>
      <c r="W2" s="7"/>
    </row>
    <row r="3" spans="1:23" ht="12.75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9"/>
      <c r="D4" s="12"/>
      <c r="E4" s="11"/>
      <c r="F4" s="11"/>
      <c r="G4" s="11"/>
      <c r="H4" s="11"/>
      <c r="I4" s="11"/>
      <c r="J4" s="11"/>
      <c r="K4" s="470" t="s">
        <v>199</v>
      </c>
      <c r="L4" s="470"/>
      <c r="M4" s="470"/>
      <c r="N4" s="470"/>
      <c r="O4" s="470"/>
      <c r="P4" s="470"/>
      <c r="Q4" s="470"/>
      <c r="V4" s="7"/>
      <c r="W4" s="7"/>
    </row>
    <row r="5" spans="1:23" ht="12.75" customHeight="1" x14ac:dyDescent="0.2">
      <c r="A5" s="11"/>
      <c r="B5" s="11"/>
      <c r="C5" s="59"/>
      <c r="D5" s="12"/>
      <c r="E5" s="11"/>
      <c r="F5" s="11"/>
      <c r="G5" s="11"/>
      <c r="H5" s="11"/>
      <c r="I5" s="11"/>
      <c r="J5" s="11"/>
      <c r="K5" s="471" t="s">
        <v>22</v>
      </c>
      <c r="L5" s="471"/>
      <c r="M5" s="471"/>
      <c r="N5" s="471"/>
      <c r="O5" s="471"/>
      <c r="P5" s="471"/>
      <c r="Q5" s="471"/>
      <c r="V5" s="7"/>
      <c r="W5" s="7"/>
    </row>
    <row r="6" spans="1:23" ht="20.25" customHeight="1" x14ac:dyDescent="0.2">
      <c r="A6" s="11"/>
      <c r="B6" s="11"/>
      <c r="C6" s="476" t="s">
        <v>255</v>
      </c>
      <c r="D6" s="477"/>
      <c r="E6" s="477"/>
      <c r="F6" s="477"/>
      <c r="G6" s="477"/>
      <c r="H6" s="477"/>
      <c r="I6" s="477"/>
      <c r="J6" s="477"/>
      <c r="K6" s="470" t="s">
        <v>23</v>
      </c>
      <c r="L6" s="470"/>
      <c r="M6" s="470"/>
      <c r="N6" s="470"/>
      <c r="O6" s="470"/>
      <c r="P6" s="470"/>
      <c r="Q6" s="470"/>
      <c r="V6" s="7"/>
      <c r="W6" s="7"/>
    </row>
    <row r="7" spans="1:23" ht="12.75" customHeight="1" x14ac:dyDescent="0.2">
      <c r="A7" s="11"/>
      <c r="B7" s="11"/>
      <c r="C7" s="477"/>
      <c r="D7" s="477"/>
      <c r="E7" s="477"/>
      <c r="F7" s="477"/>
      <c r="G7" s="477"/>
      <c r="H7" s="477"/>
      <c r="I7" s="477"/>
      <c r="J7" s="477"/>
      <c r="K7" s="471" t="s">
        <v>0</v>
      </c>
      <c r="L7" s="471"/>
      <c r="M7" s="471"/>
      <c r="N7" s="471"/>
      <c r="O7" s="471"/>
      <c r="P7" s="471"/>
      <c r="Q7" s="471"/>
      <c r="V7" s="7"/>
      <c r="W7" s="7"/>
    </row>
    <row r="8" spans="1:23" ht="17.25" customHeight="1" x14ac:dyDescent="0.2">
      <c r="A8" s="11"/>
      <c r="B8" s="11"/>
      <c r="C8" s="477"/>
      <c r="D8" s="477"/>
      <c r="E8" s="477"/>
      <c r="F8" s="477"/>
      <c r="G8" s="477"/>
      <c r="H8" s="477"/>
      <c r="I8" s="477"/>
      <c r="J8" s="477"/>
      <c r="K8" s="470" t="s">
        <v>24</v>
      </c>
      <c r="L8" s="470"/>
      <c r="M8" s="470"/>
      <c r="N8" s="470"/>
      <c r="O8" s="470"/>
      <c r="P8" s="470"/>
      <c r="Q8" s="470"/>
      <c r="V8" s="7"/>
      <c r="W8" s="7"/>
    </row>
    <row r="9" spans="1:23" s="14" customFormat="1" ht="12.75" customHeight="1" x14ac:dyDescent="0.2">
      <c r="A9" s="11"/>
      <c r="B9" s="11"/>
      <c r="C9" s="59"/>
      <c r="D9" s="12"/>
      <c r="E9" s="11"/>
      <c r="F9" s="11"/>
      <c r="G9" s="11"/>
      <c r="H9" s="11"/>
      <c r="I9" s="11"/>
      <c r="J9" s="11"/>
      <c r="K9" s="470" t="s">
        <v>1</v>
      </c>
      <c r="L9" s="470"/>
      <c r="M9" s="470"/>
      <c r="N9" s="470"/>
      <c r="O9" s="470"/>
      <c r="P9" s="470"/>
      <c r="Q9" s="470"/>
      <c r="V9" s="7"/>
      <c r="W9" s="7"/>
    </row>
    <row r="10" spans="1:23" ht="12.75" customHeight="1" x14ac:dyDescent="0.2">
      <c r="A10" s="15"/>
      <c r="B10" s="15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193"/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194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x14ac:dyDescent="0.2">
      <c r="A13" s="53">
        <v>1131</v>
      </c>
      <c r="B13" s="53"/>
      <c r="C13" s="52" t="s">
        <v>28</v>
      </c>
      <c r="D13" s="61">
        <f>SUM(E13:P13)</f>
        <v>5222429.16</v>
      </c>
      <c r="E13" s="20">
        <f>'Presupuestacion estatal'!E13+'Presupuestacion federal'!E13+'remanentes 2012'!E13</f>
        <v>420621.9</v>
      </c>
      <c r="F13" s="20">
        <f>'Presupuestacion estatal'!F13+'Presupuestacion federal'!F13+'remanentes 2012'!F13</f>
        <v>420621.86</v>
      </c>
      <c r="G13" s="20">
        <f>'Presupuestacion estatal'!G13+'Presupuestacion federal'!G13+'remanentes 2012'!G13</f>
        <v>420621.86</v>
      </c>
      <c r="H13" s="20">
        <f>'Presupuestacion estatal'!H13+'Presupuestacion federal'!H13+'remanentes 2012'!H13</f>
        <v>420621.86</v>
      </c>
      <c r="I13" s="20">
        <f>'Presupuestacion estatal'!I13+'Presupuestacion federal'!I13+'remanentes 2012'!I13</f>
        <v>420621.86</v>
      </c>
      <c r="J13" s="20">
        <f>'Presupuestacion estatal'!J13+'Presupuestacion federal'!J13+'remanentes 2012'!J13</f>
        <v>420621.86</v>
      </c>
      <c r="K13" s="20">
        <f>'Presupuestacion estatal'!K13+'Presupuestacion federal'!K13+'remanentes 2012'!K13</f>
        <v>420621.86</v>
      </c>
      <c r="L13" s="20">
        <f>'Presupuestacion estatal'!L13+'Presupuestacion federal'!L13+'remanentes 2012'!L13</f>
        <v>420621.86</v>
      </c>
      <c r="M13" s="20">
        <f>'Presupuestacion estatal'!M13+'Presupuestacion federal'!M13+'remanentes 2012'!M13</f>
        <v>420621.86</v>
      </c>
      <c r="N13" s="20">
        <f>'Presupuestacion estatal'!N13+'Presupuestacion federal'!N13+'remanentes 2012'!N13</f>
        <v>420621.86</v>
      </c>
      <c r="O13" s="20">
        <f>'Presupuestacion estatal'!O13+'Presupuestacion federal'!O13+'remanentes 2012'!O13</f>
        <v>420621.86</v>
      </c>
      <c r="P13" s="20">
        <f>'Presupuestacion estatal'!P13+'Presupuestacion federal'!P13+'remanentes 2012'!P13</f>
        <v>595588.65999999992</v>
      </c>
      <c r="Q13" s="47"/>
      <c r="R13" s="472"/>
    </row>
    <row r="14" spans="1:23" s="21" customFormat="1" x14ac:dyDescent="0.2">
      <c r="A14" s="53">
        <v>1211</v>
      </c>
      <c r="B14" s="53"/>
      <c r="C14" s="52" t="s">
        <v>29</v>
      </c>
      <c r="D14" s="61">
        <f t="shared" ref="D14:D26" si="0">SUM(E14:P14)</f>
        <v>3245095.8500000006</v>
      </c>
      <c r="E14" s="20">
        <f>'Presupuestacion estatal'!E14+'Presupuestacion federal'!E14+'remanentes 2012'!E14</f>
        <v>202309.12</v>
      </c>
      <c r="F14" s="20">
        <f>'Presupuestacion estatal'!F14+'Presupuestacion federal'!F14+'remanentes 2012'!F14</f>
        <v>202309.12</v>
      </c>
      <c r="G14" s="20">
        <f>'Presupuestacion estatal'!G14+'Presupuestacion federal'!G14+'remanentes 2012'!G14</f>
        <v>202309.12</v>
      </c>
      <c r="H14" s="20">
        <f>'Presupuestacion estatal'!H14+'Presupuestacion federal'!H14+'remanentes 2012'!H14</f>
        <v>212309.12</v>
      </c>
      <c r="I14" s="20">
        <f>'Presupuestacion estatal'!I14+'Presupuestacion federal'!I14+'remanentes 2012'!I14</f>
        <v>202309.12</v>
      </c>
      <c r="J14" s="20">
        <f>'Presupuestacion estatal'!J14+'Presupuestacion federal'!J14+'remanentes 2012'!J14</f>
        <v>202309.12</v>
      </c>
      <c r="K14" s="20">
        <f>'Presupuestacion estatal'!K14+'Presupuestacion federal'!K14+'remanentes 2012'!K14</f>
        <v>271260.28000000003</v>
      </c>
      <c r="L14" s="20">
        <f>'Presupuestacion estatal'!L14+'Presupuestacion federal'!L14+'remanentes 2012'!L14</f>
        <v>378411.47</v>
      </c>
      <c r="M14" s="20">
        <f>'Presupuestacion estatal'!M14+'Presupuestacion federal'!M14+'remanentes 2012'!M14</f>
        <v>271260.28000000003</v>
      </c>
      <c r="N14" s="20">
        <f>'Presupuestacion estatal'!N14+'Presupuestacion federal'!N14+'remanentes 2012'!N14</f>
        <v>271260.28000000003</v>
      </c>
      <c r="O14" s="20">
        <f>'Presupuestacion estatal'!O14+'Presupuestacion federal'!O14+'remanentes 2012'!O14</f>
        <v>271260.28000000003</v>
      </c>
      <c r="P14" s="20">
        <f>'Presupuestacion estatal'!P14+'Presupuestacion federal'!P14+'remanentes 2012'!P14</f>
        <v>557788.54</v>
      </c>
      <c r="Q14" s="47"/>
      <c r="R14" s="472"/>
    </row>
    <row r="15" spans="1:23" s="21" customFormat="1" ht="24" x14ac:dyDescent="0.2">
      <c r="A15" s="53">
        <v>1311</v>
      </c>
      <c r="B15" s="53"/>
      <c r="C15" s="52" t="s">
        <v>30</v>
      </c>
      <c r="D15" s="61">
        <f t="shared" si="0"/>
        <v>437727.67999999993</v>
      </c>
      <c r="E15" s="20">
        <f>'Presupuestacion estatal'!E15+'Presupuestacion federal'!E15+'remanentes 2012'!E15</f>
        <v>36477.379999999997</v>
      </c>
      <c r="F15" s="20">
        <f>'Presupuestacion estatal'!F15+'Presupuestacion federal'!F15+'remanentes 2012'!F15</f>
        <v>36477.300000000003</v>
      </c>
      <c r="G15" s="20">
        <f>'Presupuestacion estatal'!G15+'Presupuestacion federal'!G15+'remanentes 2012'!G15</f>
        <v>36477.300000000003</v>
      </c>
      <c r="H15" s="20">
        <f>'Presupuestacion estatal'!H15+'Presupuestacion federal'!H15+'remanentes 2012'!H15</f>
        <v>36477.300000000003</v>
      </c>
      <c r="I15" s="20">
        <f>'Presupuestacion estatal'!I15+'Presupuestacion federal'!I15+'remanentes 2012'!I15</f>
        <v>36477.300000000003</v>
      </c>
      <c r="J15" s="20">
        <f>'Presupuestacion estatal'!J15+'Presupuestacion federal'!J15+'remanentes 2012'!J15</f>
        <v>36477.300000000003</v>
      </c>
      <c r="K15" s="20">
        <f>'Presupuestacion estatal'!K15+'Presupuestacion federal'!K15+'remanentes 2012'!K15</f>
        <v>36477.300000000003</v>
      </c>
      <c r="L15" s="20">
        <f>'Presupuestacion estatal'!L15+'Presupuestacion federal'!L15+'remanentes 2012'!L15</f>
        <v>36477.300000000003</v>
      </c>
      <c r="M15" s="20">
        <f>'Presupuestacion estatal'!M15+'Presupuestacion federal'!M15+'remanentes 2012'!M15</f>
        <v>36477.300000000003</v>
      </c>
      <c r="N15" s="20">
        <f>'Presupuestacion estatal'!N15+'Presupuestacion federal'!N15+'remanentes 2012'!N15</f>
        <v>36477.300000000003</v>
      </c>
      <c r="O15" s="20">
        <f>'Presupuestacion estatal'!O15+'Presupuestacion federal'!O15+'remanentes 2012'!O15</f>
        <v>36477.300000000003</v>
      </c>
      <c r="P15" s="20">
        <f>'Presupuestacion estatal'!P15+'Presupuestacion federal'!P15+'remanentes 2012'!P15</f>
        <v>36477.300000000003</v>
      </c>
      <c r="Q15" s="47"/>
      <c r="R15" s="472"/>
    </row>
    <row r="16" spans="1:23" s="21" customFormat="1" x14ac:dyDescent="0.2">
      <c r="A16" s="53">
        <v>1321</v>
      </c>
      <c r="B16" s="53"/>
      <c r="C16" s="52" t="s">
        <v>31</v>
      </c>
      <c r="D16" s="61">
        <f t="shared" si="0"/>
        <v>519476.23999999993</v>
      </c>
      <c r="E16" s="20">
        <f>'Presupuestacion estatal'!E16+'Presupuestacion federal'!E16+'remanentes 2012'!E16</f>
        <v>41528.639999999999</v>
      </c>
      <c r="F16" s="20">
        <f>'Presupuestacion estatal'!F16+'Presupuestacion federal'!F16+'remanentes 2012'!F16</f>
        <v>41528.74</v>
      </c>
      <c r="G16" s="20">
        <f>'Presupuestacion estatal'!G16+'Presupuestacion federal'!G16+'remanentes 2012'!G16</f>
        <v>41528.74</v>
      </c>
      <c r="H16" s="20">
        <f>'Presupuestacion estatal'!H16+'Presupuestacion federal'!H16+'remanentes 2012'!H16</f>
        <v>41528.74</v>
      </c>
      <c r="I16" s="20">
        <f>'Presupuestacion estatal'!I16+'Presupuestacion federal'!I16+'remanentes 2012'!I16</f>
        <v>41528.74</v>
      </c>
      <c r="J16" s="20">
        <f>'Presupuestacion estatal'!J16+'Presupuestacion federal'!J16+'remanentes 2012'!J16</f>
        <v>41528.74</v>
      </c>
      <c r="K16" s="20">
        <f>'Presupuestacion estatal'!K16+'Presupuestacion federal'!K16+'remanentes 2012'!K16</f>
        <v>41528.74</v>
      </c>
      <c r="L16" s="20">
        <f>'Presupuestacion estatal'!L16+'Presupuestacion federal'!L16+'remanentes 2012'!L16</f>
        <v>41528.74</v>
      </c>
      <c r="M16" s="20">
        <f>'Presupuestacion estatal'!M16+'Presupuestacion federal'!M16+'remanentes 2012'!M16</f>
        <v>41528.74</v>
      </c>
      <c r="N16" s="20">
        <f>'Presupuestacion estatal'!N16+'Presupuestacion federal'!N16+'remanentes 2012'!N16</f>
        <v>41528.74</v>
      </c>
      <c r="O16" s="20">
        <f>'Presupuestacion estatal'!O16+'Presupuestacion federal'!O16+'remanentes 2012'!O16</f>
        <v>41528.74</v>
      </c>
      <c r="P16" s="20">
        <f>'Presupuestacion estatal'!P16+'Presupuestacion federal'!P16+'remanentes 2012'!P16</f>
        <v>62660.2</v>
      </c>
      <c r="Q16" s="47"/>
      <c r="R16" s="472"/>
    </row>
    <row r="17" spans="1:20" s="21" customFormat="1" x14ac:dyDescent="0.2">
      <c r="A17" s="53">
        <v>1322</v>
      </c>
      <c r="B17" s="53"/>
      <c r="C17" s="52" t="s">
        <v>32</v>
      </c>
      <c r="D17" s="61">
        <f t="shared" si="0"/>
        <v>1209840.4100000001</v>
      </c>
      <c r="E17" s="20">
        <f>'Presupuestacion estatal'!E17+'Presupuestacion federal'!E17+'remanentes 2012'!E17</f>
        <v>0</v>
      </c>
      <c r="F17" s="20">
        <f>'Presupuestacion estatal'!F17+'Presupuestacion federal'!F17+'remanentes 2012'!F17</f>
        <v>0</v>
      </c>
      <c r="G17" s="20">
        <f>'Presupuestacion estatal'!G17+'Presupuestacion federal'!G17+'remanentes 2012'!G17</f>
        <v>0</v>
      </c>
      <c r="H17" s="20">
        <f>'Presupuestacion estatal'!H17+'Presupuestacion federal'!H17+'remanentes 2012'!H17</f>
        <v>0</v>
      </c>
      <c r="I17" s="20">
        <f>'Presupuestacion estatal'!I17+'Presupuestacion federal'!I17+'remanentes 2012'!I17</f>
        <v>0</v>
      </c>
      <c r="J17" s="20">
        <f>'Presupuestacion estatal'!J17+'Presupuestacion federal'!J17+'remanentes 2012'!J17</f>
        <v>0</v>
      </c>
      <c r="K17" s="20">
        <f>'Presupuestacion estatal'!K17+'Presupuestacion federal'!K17+'remanentes 2012'!K17</f>
        <v>0</v>
      </c>
      <c r="L17" s="20">
        <f>'Presupuestacion estatal'!L17+'Presupuestacion federal'!L17+'remanentes 2012'!L17</f>
        <v>0</v>
      </c>
      <c r="M17" s="20">
        <f>'Presupuestacion estatal'!M17+'Presupuestacion federal'!M17+'remanentes 2012'!M17</f>
        <v>0</v>
      </c>
      <c r="N17" s="20">
        <f>'Presupuestacion estatal'!N17+'Presupuestacion federal'!N17+'remanentes 2012'!N17</f>
        <v>0</v>
      </c>
      <c r="O17" s="20">
        <f>'Presupuestacion estatal'!O17+'Presupuestacion federal'!O17+'remanentes 2012'!O17</f>
        <v>0</v>
      </c>
      <c r="P17" s="20">
        <f>'Presupuestacion estatal'!P17+'Presupuestacion federal'!P17+'remanentes 2012'!P17+'calculo de ingresos propios'!P17</f>
        <v>1209840.4100000001</v>
      </c>
      <c r="Q17" s="47"/>
      <c r="R17" s="472"/>
    </row>
    <row r="18" spans="1:20" s="21" customFormat="1" x14ac:dyDescent="0.2">
      <c r="A18" s="53">
        <v>1343</v>
      </c>
      <c r="B18" s="53"/>
      <c r="C18" s="52" t="s">
        <v>33</v>
      </c>
      <c r="D18" s="61">
        <f t="shared" si="0"/>
        <v>95779.78</v>
      </c>
      <c r="E18" s="20">
        <f>'Presupuestacion estatal'!E18+'Presupuestacion federal'!E18+'remanentes 2012'!E18</f>
        <v>6789.12</v>
      </c>
      <c r="F18" s="20">
        <f>'Presupuestacion estatal'!F18+'Presupuestacion federal'!F18+'remanentes 2012'!F18</f>
        <v>6789.12</v>
      </c>
      <c r="G18" s="20">
        <f>'Presupuestacion estatal'!G18+'Presupuestacion federal'!G18+'remanentes 2012'!G18</f>
        <v>6789.12</v>
      </c>
      <c r="H18" s="20">
        <f>'Presupuestacion estatal'!H18+'Presupuestacion federal'!H18+'remanentes 2012'!H18</f>
        <v>6789.12</v>
      </c>
      <c r="I18" s="20">
        <f>'Presupuestacion estatal'!I18+'Presupuestacion federal'!I18+'remanentes 2012'!I18</f>
        <v>6789.12</v>
      </c>
      <c r="J18" s="20">
        <f>'Presupuestacion estatal'!J18+'Presupuestacion federal'!J18+'remanentes 2012'!J18</f>
        <v>6789.12</v>
      </c>
      <c r="K18" s="20">
        <f>'Presupuestacion estatal'!K18+'Presupuestacion federal'!K18+'remanentes 2012'!K18</f>
        <v>9174.18</v>
      </c>
      <c r="L18" s="20">
        <f>'Presupuestacion estatal'!L18+'Presupuestacion federal'!L18+'remanentes 2012'!L18</f>
        <v>9174.18</v>
      </c>
      <c r="M18" s="20">
        <f>'Presupuestacion estatal'!M18+'Presupuestacion federal'!M18+'remanentes 2012'!M18</f>
        <v>9174.18</v>
      </c>
      <c r="N18" s="20">
        <f>'Presupuestacion estatal'!N18+'Presupuestacion federal'!N18+'remanentes 2012'!N18</f>
        <v>9174.18</v>
      </c>
      <c r="O18" s="20">
        <f>'Presupuestacion estatal'!O18+'Presupuestacion federal'!O18+'remanentes 2012'!O18</f>
        <v>9174.18</v>
      </c>
      <c r="P18" s="20">
        <f>'Presupuestacion estatal'!P18+'Presupuestacion federal'!P18+'remanentes 2012'!P18</f>
        <v>9174.16</v>
      </c>
      <c r="Q18" s="47"/>
      <c r="R18" s="472"/>
    </row>
    <row r="19" spans="1:20" s="21" customFormat="1" ht="24" x14ac:dyDescent="0.2">
      <c r="A19" s="53">
        <v>1411</v>
      </c>
      <c r="B19" s="53"/>
      <c r="C19" s="52" t="s">
        <v>34</v>
      </c>
      <c r="D19" s="61">
        <f t="shared" si="0"/>
        <v>737400.64999999991</v>
      </c>
      <c r="E19" s="20">
        <f>'Presupuestacion estatal'!E19+'Presupuestacion federal'!E19+'remanentes 2012'!E19</f>
        <v>53765.38</v>
      </c>
      <c r="F19" s="20">
        <f>'Presupuestacion estatal'!F19+'Presupuestacion federal'!F19+'remanentes 2012'!F19</f>
        <v>53765.38</v>
      </c>
      <c r="G19" s="20">
        <f>'Presupuestacion estatal'!G19+'Presupuestacion federal'!G19+'remanentes 2012'!G19</f>
        <v>53765.38</v>
      </c>
      <c r="H19" s="20">
        <f>'Presupuestacion estatal'!H19+'Presupuestacion federal'!H19+'remanentes 2012'!H19</f>
        <v>53765.38</v>
      </c>
      <c r="I19" s="20">
        <f>'Presupuestacion estatal'!I19+'Presupuestacion federal'!I19+'remanentes 2012'!I19</f>
        <v>53765.38</v>
      </c>
      <c r="J19" s="20">
        <f>'Presupuestacion estatal'!J19+'Presupuestacion federal'!J19+'remanentes 2012'!J19</f>
        <v>53765.38</v>
      </c>
      <c r="K19" s="20">
        <f>'Presupuestacion estatal'!K19+'Presupuestacion federal'!K19+'remanentes 2012'!K19</f>
        <v>69134.73</v>
      </c>
      <c r="L19" s="20">
        <f>'Presupuestacion estatal'!L19+'Presupuestacion federal'!L19+'remanentes 2012'!L19</f>
        <v>69134.73</v>
      </c>
      <c r="M19" s="20">
        <f>'Presupuestacion estatal'!M19+'Presupuestacion federal'!M19+'remanentes 2012'!M19</f>
        <v>69134.73</v>
      </c>
      <c r="N19" s="20">
        <f>'Presupuestacion estatal'!N19+'Presupuestacion federal'!N19+'remanentes 2012'!N19</f>
        <v>69134.73</v>
      </c>
      <c r="O19" s="20">
        <f>'Presupuestacion estatal'!O19+'Presupuestacion federal'!O19+'remanentes 2012'!O19</f>
        <v>69134.73</v>
      </c>
      <c r="P19" s="20">
        <f>'Presupuestacion estatal'!P19+'Presupuestacion federal'!P19+'remanentes 2012'!P19</f>
        <v>69134.720000000001</v>
      </c>
      <c r="Q19" s="47"/>
      <c r="R19" s="472"/>
    </row>
    <row r="20" spans="1:20" s="21" customFormat="1" x14ac:dyDescent="0.2">
      <c r="A20" s="53">
        <v>1421</v>
      </c>
      <c r="B20" s="53"/>
      <c r="C20" s="52" t="s">
        <v>35</v>
      </c>
      <c r="D20" s="61">
        <f t="shared" si="0"/>
        <v>226181.69000000003</v>
      </c>
      <c r="E20" s="20">
        <f>'Presupuestacion estatal'!E20+'Presupuestacion federal'!E20+'remanentes 2012'!E20</f>
        <v>18687.939999999999</v>
      </c>
      <c r="F20" s="20">
        <f>'Presupuestacion estatal'!F20+'Presupuestacion federal'!F20+'remanentes 2012'!F20</f>
        <v>18687.84</v>
      </c>
      <c r="G20" s="20">
        <f>'Presupuestacion estatal'!G20+'Presupuestacion federal'!G20+'remanentes 2012'!G20</f>
        <v>18687.98</v>
      </c>
      <c r="H20" s="20">
        <f>'Presupuestacion estatal'!H20+'Presupuestacion federal'!H20+'remanentes 2012'!H20</f>
        <v>18687.98</v>
      </c>
      <c r="I20" s="20">
        <f>'Presupuestacion estatal'!I20+'Presupuestacion federal'!I20+'remanentes 2012'!I20</f>
        <v>18687.98</v>
      </c>
      <c r="J20" s="20">
        <f>'Presupuestacion estatal'!J20+'Presupuestacion federal'!J20+'remanentes 2012'!J20</f>
        <v>18687.919999999998</v>
      </c>
      <c r="K20" s="20">
        <f>'Presupuestacion estatal'!K20+'Presupuestacion federal'!K20+'remanentes 2012'!K20</f>
        <v>19009.009999999998</v>
      </c>
      <c r="L20" s="20">
        <f>'Presupuestacion estatal'!L20+'Presupuestacion federal'!L20+'remanentes 2012'!L20</f>
        <v>19009.009999999998</v>
      </c>
      <c r="M20" s="20">
        <f>'Presupuestacion estatal'!M20+'Presupuestacion federal'!M20+'remanentes 2012'!M20</f>
        <v>19009.009999999998</v>
      </c>
      <c r="N20" s="20">
        <f>'Presupuestacion estatal'!N20+'Presupuestacion federal'!N20+'remanentes 2012'!N20</f>
        <v>19009.009999999998</v>
      </c>
      <c r="O20" s="20">
        <f>'Presupuestacion estatal'!O20+'Presupuestacion federal'!O20+'remanentes 2012'!O20</f>
        <v>19009.009999999998</v>
      </c>
      <c r="P20" s="20">
        <f>'Presupuestacion estatal'!P20+'Presupuestacion federal'!P20+'remanentes 2012'!P20</f>
        <v>19009</v>
      </c>
      <c r="Q20" s="47"/>
      <c r="R20" s="472"/>
    </row>
    <row r="21" spans="1:20" s="21" customFormat="1" x14ac:dyDescent="0.2">
      <c r="A21" s="53">
        <v>1431</v>
      </c>
      <c r="B21" s="53"/>
      <c r="C21" s="52" t="s">
        <v>36</v>
      </c>
      <c r="D21" s="61">
        <f t="shared" si="0"/>
        <v>791635.12999999989</v>
      </c>
      <c r="E21" s="20">
        <f>'Presupuestacion estatal'!E21+'Presupuestacion federal'!E21+'remanentes 2012'!E21</f>
        <v>65407.68</v>
      </c>
      <c r="F21" s="20">
        <f>'Presupuestacion estatal'!F21+'Presupuestacion federal'!F21+'remanentes 2012'!F21</f>
        <v>65407.76</v>
      </c>
      <c r="G21" s="20">
        <f>'Presupuestacion estatal'!G21+'Presupuestacion federal'!G21+'remanentes 2012'!G21</f>
        <v>65407.76</v>
      </c>
      <c r="H21" s="20">
        <f>'Presupuestacion estatal'!H21+'Presupuestacion federal'!H21+'remanentes 2012'!H21</f>
        <v>65407.76</v>
      </c>
      <c r="I21" s="20">
        <f>'Presupuestacion estatal'!I21+'Presupuestacion federal'!I21+'remanentes 2012'!I21</f>
        <v>65407.76</v>
      </c>
      <c r="J21" s="20">
        <f>'Presupuestacion estatal'!J21+'Presupuestacion federal'!J21+'remanentes 2012'!J21</f>
        <v>65407.76</v>
      </c>
      <c r="K21" s="20">
        <f>'Presupuestacion estatal'!K21+'Presupuestacion federal'!K21+'remanentes 2012'!K21</f>
        <v>66531.44</v>
      </c>
      <c r="L21" s="20">
        <f>'Presupuestacion estatal'!L21+'Presupuestacion federal'!L21+'remanentes 2012'!L21</f>
        <v>66531.44</v>
      </c>
      <c r="M21" s="20">
        <f>'Presupuestacion estatal'!M21+'Presupuestacion federal'!M21+'remanentes 2012'!M21</f>
        <v>66531.44</v>
      </c>
      <c r="N21" s="20">
        <f>'Presupuestacion estatal'!N21+'Presupuestacion federal'!N21+'remanentes 2012'!N21</f>
        <v>66531.44</v>
      </c>
      <c r="O21" s="20">
        <f>'Presupuestacion estatal'!O21+'Presupuestacion federal'!O21+'remanentes 2012'!O21</f>
        <v>66531.44</v>
      </c>
      <c r="P21" s="20">
        <f>'Presupuestacion estatal'!P21+'Presupuestacion federal'!P21+'remanentes 2012'!P21</f>
        <v>66531.45</v>
      </c>
      <c r="Q21" s="47"/>
      <c r="R21" s="472"/>
    </row>
    <row r="22" spans="1:20" s="21" customFormat="1" ht="24" x14ac:dyDescent="0.2">
      <c r="A22" s="53">
        <v>1432</v>
      </c>
      <c r="B22" s="53"/>
      <c r="C22" s="52" t="s">
        <v>37</v>
      </c>
      <c r="D22" s="61">
        <f t="shared" si="0"/>
        <v>150787.89000000001</v>
      </c>
      <c r="E22" s="20">
        <f>'Presupuestacion estatal'!E22+'Presupuestacion federal'!E22+'remanentes 2012'!E22</f>
        <v>12458.62</v>
      </c>
      <c r="F22" s="20">
        <f>'Presupuestacion estatal'!F22+'Presupuestacion federal'!F22+'remanentes 2012'!F22</f>
        <v>12458.62</v>
      </c>
      <c r="G22" s="20">
        <f>'Presupuestacion estatal'!G22+'Presupuestacion federal'!G22+'remanentes 2012'!G22</f>
        <v>12458.62</v>
      </c>
      <c r="H22" s="20">
        <f>'Presupuestacion estatal'!H22+'Presupuestacion federal'!H22+'remanentes 2012'!H22</f>
        <v>12458.62</v>
      </c>
      <c r="I22" s="20">
        <f>'Presupuestacion estatal'!I22+'Presupuestacion federal'!I22+'remanentes 2012'!I22</f>
        <v>12458.62</v>
      </c>
      <c r="J22" s="20">
        <f>'Presupuestacion estatal'!J22+'Presupuestacion federal'!J22+'remanentes 2012'!J22</f>
        <v>12458.62</v>
      </c>
      <c r="K22" s="20">
        <f>'Presupuestacion estatal'!K22+'Presupuestacion federal'!K22+'remanentes 2012'!K22</f>
        <v>12672.69</v>
      </c>
      <c r="L22" s="20">
        <f>'Presupuestacion estatal'!L22+'Presupuestacion federal'!L22+'remanentes 2012'!L22</f>
        <v>12672.69</v>
      </c>
      <c r="M22" s="20">
        <f>'Presupuestacion estatal'!M22+'Presupuestacion federal'!M22+'remanentes 2012'!M22</f>
        <v>12672.69</v>
      </c>
      <c r="N22" s="20">
        <f>'Presupuestacion estatal'!N22+'Presupuestacion federal'!N22+'remanentes 2012'!N22</f>
        <v>12672.69</v>
      </c>
      <c r="O22" s="20">
        <f>'Presupuestacion estatal'!O22+'Presupuestacion federal'!O22+'remanentes 2012'!O22</f>
        <v>12672.69</v>
      </c>
      <c r="P22" s="20">
        <f>'Presupuestacion estatal'!P22+'Presupuestacion federal'!P22+'remanentes 2012'!P22</f>
        <v>12672.720000000001</v>
      </c>
      <c r="Q22" s="47"/>
      <c r="R22" s="472"/>
    </row>
    <row r="23" spans="1:20" s="34" customFormat="1" x14ac:dyDescent="0.2">
      <c r="A23" s="53">
        <v>1543</v>
      </c>
      <c r="B23" s="53"/>
      <c r="C23" s="52" t="s">
        <v>38</v>
      </c>
      <c r="D23" s="61">
        <f t="shared" si="0"/>
        <v>375842.1</v>
      </c>
      <c r="E23" s="20">
        <f>'Presupuestacion estatal'!E23+'Presupuestacion federal'!E23+'remanentes 2012'!E23</f>
        <v>49551.7</v>
      </c>
      <c r="F23" s="20">
        <f>'Presupuestacion estatal'!F23+'Presupuestacion federal'!F23+'remanentes 2012'!F23</f>
        <v>49551.7</v>
      </c>
      <c r="G23" s="20">
        <f>'Presupuestacion estatal'!G23+'Presupuestacion federal'!G23+'remanentes 2012'!G23</f>
        <v>49551.7</v>
      </c>
      <c r="H23" s="20">
        <f>'Presupuestacion estatal'!H23+'Presupuestacion federal'!H23+'remanentes 2012'!H23</f>
        <v>25243</v>
      </c>
      <c r="I23" s="20">
        <f>'Presupuestacion estatal'!I23+'Presupuestacion federal'!I23+'remanentes 2012'!I23</f>
        <v>25243</v>
      </c>
      <c r="J23" s="20">
        <f>'Presupuestacion estatal'!J23+'Presupuestacion federal'!J23+'remanentes 2012'!J23</f>
        <v>25243</v>
      </c>
      <c r="K23" s="20">
        <f>'Presupuestacion estatal'!K23+'Presupuestacion federal'!K23+'remanentes 2012'!K23</f>
        <v>25243</v>
      </c>
      <c r="L23" s="20">
        <f>'Presupuestacion estatal'!L23+'Presupuestacion federal'!L23+'remanentes 2012'!L23</f>
        <v>25243</v>
      </c>
      <c r="M23" s="20">
        <f>'Presupuestacion estatal'!M23+'Presupuestacion federal'!M23+'remanentes 2012'!M23</f>
        <v>25243</v>
      </c>
      <c r="N23" s="20">
        <f>'Presupuestacion estatal'!N23+'Presupuestacion federal'!N23+'remanentes 2012'!N23</f>
        <v>25243</v>
      </c>
      <c r="O23" s="20">
        <f>'Presupuestacion estatal'!O23+'Presupuestacion federal'!O23+'remanentes 2012'!O23</f>
        <v>25243</v>
      </c>
      <c r="P23" s="20">
        <f>'Presupuestacion estatal'!P23+'Presupuestacion federal'!P23+'remanentes 2012'!P23</f>
        <v>25243</v>
      </c>
      <c r="Q23" s="47"/>
      <c r="R23" s="472"/>
    </row>
    <row r="24" spans="1:20" s="21" customFormat="1" x14ac:dyDescent="0.2">
      <c r="A24" s="53">
        <v>1611</v>
      </c>
      <c r="B24" s="53"/>
      <c r="C24" s="52" t="s">
        <v>121</v>
      </c>
      <c r="D24" s="61">
        <f t="shared" si="0"/>
        <v>0</v>
      </c>
      <c r="E24" s="20">
        <f>'Presupuestacion estatal'!E24+'Presupuestacion federal'!E24+'remanentes 2012'!E24</f>
        <v>0</v>
      </c>
      <c r="F24" s="20">
        <f>'Presupuestacion estatal'!F24+'Presupuestacion federal'!F24+'remanentes 2012'!F24</f>
        <v>0</v>
      </c>
      <c r="G24" s="20">
        <f>'Presupuestacion estatal'!G24+'Presupuestacion federal'!G24+'remanentes 2012'!G24</f>
        <v>0</v>
      </c>
      <c r="H24" s="20">
        <f>'Presupuestacion estatal'!H24+'Presupuestacion federal'!H24+'remanentes 2012'!H24</f>
        <v>0</v>
      </c>
      <c r="I24" s="20">
        <f>'Presupuestacion estatal'!I24+'Presupuestacion federal'!I24+'remanentes 2012'!I24</f>
        <v>0</v>
      </c>
      <c r="J24" s="20">
        <f>'Presupuestacion estatal'!J24+'Presupuestacion federal'!J24+'remanentes 2012'!J24</f>
        <v>0</v>
      </c>
      <c r="K24" s="20">
        <f>'Presupuestacion estatal'!K24+'Presupuestacion federal'!K24+'remanentes 2012'!K24</f>
        <v>0</v>
      </c>
      <c r="L24" s="20">
        <f>'Presupuestacion estatal'!L24+'Presupuestacion federal'!L24+'remanentes 2012'!L24</f>
        <v>0</v>
      </c>
      <c r="M24" s="20">
        <f>'Presupuestacion estatal'!M24+'Presupuestacion federal'!M24+'remanentes 2012'!M24</f>
        <v>0</v>
      </c>
      <c r="N24" s="20">
        <f>'Presupuestacion estatal'!N24+'Presupuestacion federal'!N24+'remanentes 2012'!N24</f>
        <v>0</v>
      </c>
      <c r="O24" s="20">
        <f>'Presupuestacion estatal'!O24+'Presupuestacion federal'!O24+'remanentes 2012'!O24</f>
        <v>0</v>
      </c>
      <c r="P24" s="20">
        <f>'Presupuestacion estatal'!P24+'Presupuestacion federal'!P24+'remanentes 2012'!P24</f>
        <v>0</v>
      </c>
      <c r="Q24" s="47"/>
      <c r="R24" s="472"/>
    </row>
    <row r="25" spans="1:20" s="21" customFormat="1" x14ac:dyDescent="0.2">
      <c r="A25" s="53">
        <v>1715</v>
      </c>
      <c r="B25" s="53"/>
      <c r="C25" s="52" t="s">
        <v>39</v>
      </c>
      <c r="D25" s="61">
        <f t="shared" si="0"/>
        <v>193931.22</v>
      </c>
      <c r="E25" s="20">
        <f>'Presupuestacion estatal'!E25+'Presupuestacion federal'!E25+'remanentes 2012'!E25</f>
        <v>0</v>
      </c>
      <c r="F25" s="20">
        <f>'Presupuestacion estatal'!F25+'Presupuestacion federal'!F25+'remanentes 2012'!F25</f>
        <v>0</v>
      </c>
      <c r="G25" s="20">
        <f>'Presupuestacion estatal'!G25+'Presupuestacion federal'!G25+'remanentes 2012'!G25</f>
        <v>0</v>
      </c>
      <c r="H25" s="20">
        <f>'Presupuestacion estatal'!H25+'Presupuestacion federal'!H25+'remanentes 2012'!H25</f>
        <v>0</v>
      </c>
      <c r="I25" s="20">
        <f>'Presupuestacion estatal'!I25+'Presupuestacion federal'!I25+'remanentes 2012'!I25</f>
        <v>0</v>
      </c>
      <c r="J25" s="20">
        <f>'Presupuestacion estatal'!J25+'Presupuestacion federal'!J25+'remanentes 2012'!J25</f>
        <v>0</v>
      </c>
      <c r="K25" s="20">
        <f>'Presupuestacion estatal'!K25+'Presupuestacion federal'!K25+'remanentes 2012'!K25</f>
        <v>0</v>
      </c>
      <c r="L25" s="20">
        <f>'Presupuestacion estatal'!L25+'Presupuestacion federal'!L25+'remanentes 2012'!L25</f>
        <v>0</v>
      </c>
      <c r="M25" s="20">
        <f>'Presupuestacion estatal'!M25+'Presupuestacion federal'!M25+'remanentes 2012'!M25</f>
        <v>193931.22</v>
      </c>
      <c r="N25" s="20">
        <f>'Presupuestacion estatal'!N25+'Presupuestacion federal'!N25+'remanentes 2012'!N25</f>
        <v>0</v>
      </c>
      <c r="O25" s="20">
        <f>'Presupuestacion estatal'!O25+'Presupuestacion federal'!O25+'remanentes 2012'!O25</f>
        <v>0</v>
      </c>
      <c r="P25" s="20">
        <f>'Presupuestacion estatal'!P25+'Presupuestacion federal'!P25+'remanentes 2012'!P25</f>
        <v>0</v>
      </c>
      <c r="Q25" s="47"/>
      <c r="R25" s="472"/>
    </row>
    <row r="26" spans="1:20" s="21" customFormat="1" x14ac:dyDescent="0.2">
      <c r="A26" s="53">
        <v>1719</v>
      </c>
      <c r="B26" s="53"/>
      <c r="C26" s="52" t="s">
        <v>40</v>
      </c>
      <c r="D26" s="61">
        <f t="shared" si="0"/>
        <v>793934.4</v>
      </c>
      <c r="E26" s="20">
        <f>'Presupuestacion estatal'!E26+'Presupuestacion federal'!E26+'remanentes 2012'!E26</f>
        <v>65451.179999999993</v>
      </c>
      <c r="F26" s="20">
        <f>'Presupuestacion estatal'!F26+'Presupuestacion federal'!F26+'remanentes 2012'!F26</f>
        <v>49419.26</v>
      </c>
      <c r="G26" s="20">
        <f>'Presupuestacion estatal'!G26+'Presupuestacion federal'!G26+'remanentes 2012'!G26</f>
        <v>49419.26</v>
      </c>
      <c r="H26" s="20">
        <f>'Presupuestacion estatal'!H26+'Presupuestacion federal'!H26+'remanentes 2012'!H26</f>
        <v>49419.26</v>
      </c>
      <c r="I26" s="20">
        <f>'Presupuestacion estatal'!I26+'Presupuestacion federal'!I26+'remanentes 2012'!I26</f>
        <v>49419.26</v>
      </c>
      <c r="J26" s="20">
        <f>'Presupuestacion estatal'!J26+'Presupuestacion federal'!J26+'remanentes 2012'!J26</f>
        <v>49419.26</v>
      </c>
      <c r="K26" s="20">
        <f>'Presupuestacion estatal'!K26+'Presupuestacion federal'!K26+'remanentes 2012'!K26</f>
        <v>49419.26</v>
      </c>
      <c r="L26" s="20">
        <f>'Presupuestacion estatal'!L26+'Presupuestacion federal'!L26+'remanentes 2012'!L26</f>
        <v>49419.26</v>
      </c>
      <c r="M26" s="20">
        <f>'Presupuestacion estatal'!M26+'Presupuestacion federal'!M26+'remanentes 2012'!M26</f>
        <v>49419.26</v>
      </c>
      <c r="N26" s="20">
        <f>'Presupuestacion estatal'!N26+'Presupuestacion federal'!N26+'remanentes 2012'!N26</f>
        <v>49419.26</v>
      </c>
      <c r="O26" s="20">
        <f>'Presupuestacion estatal'!O26+'Presupuestacion federal'!O26+'remanentes 2012'!O26</f>
        <v>49419.26</v>
      </c>
      <c r="P26" s="20">
        <f>'Presupuestacion estatal'!P26+'Presupuestacion federal'!P26+'remanentes 2012'!P26+'calculo de ingresos propios'!P26</f>
        <v>234290.62</v>
      </c>
      <c r="Q26" s="47"/>
      <c r="R26" s="472"/>
    </row>
    <row r="27" spans="1:20" s="21" customFormat="1" x14ac:dyDescent="0.2">
      <c r="A27" s="53">
        <v>1712</v>
      </c>
      <c r="B27" s="53"/>
      <c r="C27" s="52" t="s">
        <v>41</v>
      </c>
      <c r="D27" s="61">
        <f>SUM(E27:P27)</f>
        <v>527849.28000000014</v>
      </c>
      <c r="E27" s="20">
        <f>'Presupuestacion estatal'!E27+'Presupuestacion federal'!E27+'remanentes 2012'!E27</f>
        <v>63897.179999999993</v>
      </c>
      <c r="F27" s="20">
        <f>'Presupuestacion estatal'!F27+'Presupuestacion federal'!F27+'remanentes 2012'!F27</f>
        <v>41337.08</v>
      </c>
      <c r="G27" s="20">
        <f>'Presupuestacion estatal'!G27+'Presupuestacion federal'!G27+'remanentes 2012'!G27</f>
        <v>41337.08</v>
      </c>
      <c r="H27" s="20">
        <f>'Presupuestacion estatal'!H27+'Presupuestacion federal'!H27+'remanentes 2012'!H27</f>
        <v>41337.08</v>
      </c>
      <c r="I27" s="20">
        <f>'Presupuestacion estatal'!I27+'Presupuestacion federal'!I27+'remanentes 2012'!I27</f>
        <v>41337.08</v>
      </c>
      <c r="J27" s="20">
        <f>'Presupuestacion estatal'!J27+'Presupuestacion federal'!J27+'remanentes 2012'!J27</f>
        <v>41337.08</v>
      </c>
      <c r="K27" s="20">
        <f>'Presupuestacion estatal'!K27+'Presupuestacion federal'!K27+'remanentes 2012'!K27</f>
        <v>42877.78</v>
      </c>
      <c r="L27" s="20">
        <f>'Presupuestacion estatal'!L27+'Presupuestacion federal'!L27+'remanentes 2012'!L27</f>
        <v>42877.78</v>
      </c>
      <c r="M27" s="20">
        <f>'Presupuestacion estatal'!M27+'Presupuestacion federal'!M27+'remanentes 2012'!M27</f>
        <v>42877.78</v>
      </c>
      <c r="N27" s="20">
        <f>'Presupuestacion estatal'!N27+'Presupuestacion federal'!N27+'remanentes 2012'!N27</f>
        <v>42877.78</v>
      </c>
      <c r="O27" s="20">
        <f>'Presupuestacion estatal'!O27+'Presupuestacion federal'!O27+'remanentes 2012'!O27</f>
        <v>42877.78</v>
      </c>
      <c r="P27" s="20">
        <f>'Presupuestacion estatal'!P27+'Presupuestacion federal'!P27+'remanentes 2012'!P27</f>
        <v>42877.8</v>
      </c>
      <c r="Q27" s="47"/>
      <c r="R27" s="472"/>
    </row>
    <row r="28" spans="1:20" s="11" customFormat="1" ht="25.5" x14ac:dyDescent="0.2">
      <c r="A28" s="22"/>
      <c r="B28" s="22"/>
      <c r="C28" s="62" t="s">
        <v>16</v>
      </c>
      <c r="D28" s="65">
        <f>SUM(D13:D27)</f>
        <v>14527911.48</v>
      </c>
      <c r="E28" s="24">
        <f t="shared" ref="E28:P28" si="1">SUM(E13:E27)</f>
        <v>1036945.8399999999</v>
      </c>
      <c r="F28" s="24">
        <f t="shared" si="1"/>
        <v>998353.77999999991</v>
      </c>
      <c r="G28" s="24">
        <f t="shared" si="1"/>
        <v>998353.91999999993</v>
      </c>
      <c r="H28" s="24">
        <f t="shared" si="1"/>
        <v>984045.22</v>
      </c>
      <c r="I28" s="24">
        <f t="shared" si="1"/>
        <v>974045.22</v>
      </c>
      <c r="J28" s="24">
        <f t="shared" si="1"/>
        <v>974045.16</v>
      </c>
      <c r="K28" s="24">
        <f t="shared" si="1"/>
        <v>1063950.27</v>
      </c>
      <c r="L28" s="24">
        <f t="shared" si="1"/>
        <v>1171101.46</v>
      </c>
      <c r="M28" s="24">
        <f t="shared" si="1"/>
        <v>1257881.49</v>
      </c>
      <c r="N28" s="24">
        <f t="shared" si="1"/>
        <v>1063950.27</v>
      </c>
      <c r="O28" s="24">
        <f t="shared" si="1"/>
        <v>1063950.27</v>
      </c>
      <c r="P28" s="24">
        <f t="shared" si="1"/>
        <v>2941288.580000001</v>
      </c>
      <c r="Q28" s="25"/>
      <c r="R28" s="26"/>
      <c r="T28" s="46"/>
    </row>
    <row r="29" spans="1:20" s="34" customFormat="1" ht="24" x14ac:dyDescent="0.2">
      <c r="A29" s="54">
        <v>2111</v>
      </c>
      <c r="B29" s="54"/>
      <c r="C29" s="49" t="s">
        <v>42</v>
      </c>
      <c r="D29" s="61">
        <f t="shared" ref="D29:D92" si="2">SUM(E29:P29)</f>
        <v>100000</v>
      </c>
      <c r="E29" s="74">
        <f>'remanentes 2012'!E29+'Presupuestacion estatal'!E29+'Presupuestacion federal'!E29+'calculo de ingresos propios'!E29+COECYTJAL!E29</f>
        <v>20000</v>
      </c>
      <c r="F29" s="74">
        <f>'remanentes 2012'!F29+'Presupuestacion estatal'!F29+'Presupuestacion federal'!F29+'calculo de ingresos propios'!F29</f>
        <v>0</v>
      </c>
      <c r="G29" s="74">
        <f>'remanentes 2012'!G29+'Presupuestacion estatal'!G29+'Presupuestacion federal'!G29+'calculo de ingresos propios'!G29</f>
        <v>0</v>
      </c>
      <c r="H29" s="74">
        <f>'remanentes 2012'!H29+'Presupuestacion estatal'!H29+'Presupuestacion federal'!H29+'calculo de ingresos propios'!H29</f>
        <v>0</v>
      </c>
      <c r="I29" s="74">
        <f>'remanentes 2012'!I29+'Presupuestacion estatal'!I29+'Presupuestacion federal'!I29+'calculo de ingresos propios'!I29</f>
        <v>40000</v>
      </c>
      <c r="J29" s="74">
        <f>'remanentes 2012'!J29+'Presupuestacion estatal'!J29+'Presupuestacion federal'!J29+'calculo de ingresos propios'!J29</f>
        <v>0</v>
      </c>
      <c r="K29" s="74">
        <f>'remanentes 2012'!K29+'Presupuestacion estatal'!K29+'Presupuestacion federal'!K29+'calculo de ingresos propios'!K29</f>
        <v>0</v>
      </c>
      <c r="L29" s="74">
        <f>'remanentes 2012'!L29+'Presupuestacion estatal'!L29+'Presupuestacion federal'!L29+'calculo de ingresos propios'!L29</f>
        <v>20000</v>
      </c>
      <c r="M29" s="74">
        <f>'remanentes 2012'!M29+'Presupuestacion estatal'!M29+'Presupuestacion federal'!M29+'calculo de ingresos propios'!M29</f>
        <v>0</v>
      </c>
      <c r="N29" s="74">
        <f>'remanentes 2012'!N29+'Presupuestacion estatal'!N29+'Presupuestacion federal'!N29+'calculo de ingresos propios'!N29</f>
        <v>20000</v>
      </c>
      <c r="O29" s="74">
        <f>'remanentes 2012'!O29+'Presupuestacion estatal'!O29+'Presupuestacion federal'!O29+'calculo de ingresos propios'!O29</f>
        <v>0</v>
      </c>
      <c r="P29" s="74">
        <f>'remanentes 2012'!P29+'Presupuestacion estatal'!P29+'Presupuestacion federal'!P29+'calculo de ingresos propios'!P29</f>
        <v>0</v>
      </c>
      <c r="Q29" s="33"/>
    </row>
    <row r="30" spans="1:20" s="34" customFormat="1" ht="24" x14ac:dyDescent="0.2">
      <c r="A30" s="54">
        <v>2121</v>
      </c>
      <c r="B30" s="54"/>
      <c r="C30" s="49" t="s">
        <v>123</v>
      </c>
      <c r="D30" s="61">
        <f t="shared" si="2"/>
        <v>9000</v>
      </c>
      <c r="E30" s="74">
        <f>'remanentes 2012'!E30+'Presupuestacion estatal'!E30+'Presupuestacion federal'!E30+'calculo de ingresos propios'!E30+COECYTJAL!E30</f>
        <v>0</v>
      </c>
      <c r="F30" s="74">
        <f>'remanentes 2012'!F30+'Presupuestacion estatal'!F30+'Presupuestacion federal'!F30+'calculo de ingresos propios'!F30</f>
        <v>2000</v>
      </c>
      <c r="G30" s="74">
        <f>'remanentes 2012'!G30+'Presupuestacion estatal'!G30+'Presupuestacion federal'!G30+'calculo de ingresos propios'!G30</f>
        <v>0</v>
      </c>
      <c r="H30" s="74">
        <f>'remanentes 2012'!H30+'Presupuestacion estatal'!H30+'Presupuestacion federal'!H30+'calculo de ingresos propios'!H30</f>
        <v>0</v>
      </c>
      <c r="I30" s="74">
        <f>'remanentes 2012'!I30+'Presupuestacion estatal'!I30+'Presupuestacion federal'!I30+'calculo de ingresos propios'!I30</f>
        <v>2000</v>
      </c>
      <c r="J30" s="74">
        <f>'remanentes 2012'!J30+'Presupuestacion estatal'!J30+'Presupuestacion federal'!J30+'calculo de ingresos propios'!J30</f>
        <v>0</v>
      </c>
      <c r="K30" s="74">
        <f>'remanentes 2012'!K30+'Presupuestacion estatal'!K30+'Presupuestacion federal'!K30+'calculo de ingresos propios'!K30</f>
        <v>0</v>
      </c>
      <c r="L30" s="74">
        <f>'remanentes 2012'!L30+'Presupuestacion estatal'!L30+'Presupuestacion federal'!L30+'calculo de ingresos propios'!L30</f>
        <v>5000</v>
      </c>
      <c r="M30" s="74">
        <f>'remanentes 2012'!M30+'Presupuestacion estatal'!M30+'Presupuestacion federal'!M30+'calculo de ingresos propios'!M30</f>
        <v>0</v>
      </c>
      <c r="N30" s="74">
        <f>'remanentes 2012'!N30+'Presupuestacion estatal'!N30+'Presupuestacion federal'!N30+'calculo de ingresos propios'!N30</f>
        <v>0</v>
      </c>
      <c r="O30" s="74">
        <f>'remanentes 2012'!O30+'Presupuestacion estatal'!O30+'Presupuestacion federal'!O30+'calculo de ingresos propios'!O30</f>
        <v>0</v>
      </c>
      <c r="P30" s="74">
        <f>'remanentes 2012'!P30+'Presupuestacion estatal'!P30+'Presupuestacion federal'!P30+'calculo de ingresos propios'!P30</f>
        <v>0</v>
      </c>
      <c r="Q30" s="33"/>
    </row>
    <row r="31" spans="1:20" s="34" customFormat="1" ht="36" x14ac:dyDescent="0.2">
      <c r="A31" s="54">
        <v>2141</v>
      </c>
      <c r="B31" s="54"/>
      <c r="C31" s="49" t="s">
        <v>43</v>
      </c>
      <c r="D31" s="61">
        <f t="shared" si="2"/>
        <v>114000</v>
      </c>
      <c r="E31" s="74">
        <f>'remanentes 2012'!E31+'Presupuestacion estatal'!E31+'Presupuestacion federal'!E31+'calculo de ingresos propios'!E31+COECYTJAL!E31</f>
        <v>40000</v>
      </c>
      <c r="F31" s="74">
        <f>'remanentes 2012'!F31+'Presupuestacion estatal'!F31+'Presupuestacion federal'!F31+'calculo de ingresos propios'!F31</f>
        <v>0</v>
      </c>
      <c r="G31" s="74">
        <f>'remanentes 2012'!G31+'Presupuestacion estatal'!G31+'Presupuestacion federal'!G31+'calculo de ingresos propios'!G31</f>
        <v>11200</v>
      </c>
      <c r="H31" s="74">
        <f>'remanentes 2012'!H31+'Presupuestacion estatal'!H31+'Presupuestacion federal'!H31+'calculo de ingresos propios'!H31</f>
        <v>0</v>
      </c>
      <c r="I31" s="74">
        <f>'remanentes 2012'!I31+'Presupuestacion estatal'!I31+'Presupuestacion federal'!I31+'calculo de ingresos propios'!I31</f>
        <v>39600</v>
      </c>
      <c r="J31" s="74">
        <f>'remanentes 2012'!J31+'Presupuestacion estatal'!J31+'Presupuestacion federal'!J31+'calculo de ingresos propios'!J31</f>
        <v>0</v>
      </c>
      <c r="K31" s="74">
        <f>'remanentes 2012'!K31+'Presupuestacion estatal'!K31+'Presupuestacion federal'!K31+'calculo de ingresos propios'!K31</f>
        <v>11600</v>
      </c>
      <c r="L31" s="74">
        <f>'remanentes 2012'!L31+'Presupuestacion estatal'!L31+'Presupuestacion federal'!L31+'calculo de ingresos propios'!L31</f>
        <v>0</v>
      </c>
      <c r="M31" s="74">
        <f>'remanentes 2012'!M31+'Presupuestacion estatal'!M31+'Presupuestacion federal'!M31+'calculo de ingresos propios'!M31</f>
        <v>0</v>
      </c>
      <c r="N31" s="74">
        <f>'remanentes 2012'!N31+'Presupuestacion estatal'!N31+'Presupuestacion federal'!N31+'calculo de ingresos propios'!N31</f>
        <v>11600</v>
      </c>
      <c r="O31" s="74">
        <f>'remanentes 2012'!O31+'Presupuestacion estatal'!O31+'Presupuestacion federal'!O31+'calculo de ingresos propios'!O31</f>
        <v>0</v>
      </c>
      <c r="P31" s="74">
        <f>'remanentes 2012'!P31+'Presupuestacion estatal'!P31+'Presupuestacion federal'!P31+'calculo de ingresos propios'!P31</f>
        <v>0</v>
      </c>
      <c r="Q31" s="33"/>
    </row>
    <row r="32" spans="1:20" s="34" customFormat="1" x14ac:dyDescent="0.2">
      <c r="A32" s="54">
        <v>2151</v>
      </c>
      <c r="B32" s="54"/>
      <c r="C32" s="49" t="s">
        <v>44</v>
      </c>
      <c r="D32" s="61">
        <f t="shared" si="2"/>
        <v>409011.26</v>
      </c>
      <c r="E32" s="74">
        <f>'remanentes 2012'!E32+'Presupuestacion estatal'!E32+'Presupuestacion federal'!E32+'calculo de ingresos propios'!E32+COECYTJAL!E32</f>
        <v>0</v>
      </c>
      <c r="F32" s="74">
        <f>'remanentes 2012'!F32+'Presupuestacion estatal'!F32+'Presupuestacion federal'!F32+'calculo de ingresos propios'!F32</f>
        <v>0</v>
      </c>
      <c r="G32" s="74">
        <f>'remanentes 2012'!G32+'Presupuestacion estatal'!G32+'Presupuestacion federal'!G32+'calculo de ingresos propios'!G32</f>
        <v>409011.26</v>
      </c>
      <c r="H32" s="74">
        <f>'remanentes 2012'!H32+'Presupuestacion estatal'!H32+'Presupuestacion federal'!H32+'calculo de ingresos propios'!H32</f>
        <v>0</v>
      </c>
      <c r="I32" s="74">
        <f>'remanentes 2012'!I32+'Presupuestacion estatal'!I32+'Presupuestacion federal'!I32+'calculo de ingresos propios'!I32</f>
        <v>0</v>
      </c>
      <c r="J32" s="74">
        <f>'remanentes 2012'!J32+'Presupuestacion estatal'!J32+'Presupuestacion federal'!J32+'calculo de ingresos propios'!J32</f>
        <v>0</v>
      </c>
      <c r="K32" s="74">
        <f>'remanentes 2012'!K32+'Presupuestacion estatal'!K32+'Presupuestacion federal'!K32+'calculo de ingresos propios'!K32</f>
        <v>0</v>
      </c>
      <c r="L32" s="74">
        <f>'remanentes 2012'!L32+'Presupuestacion estatal'!L32+'Presupuestacion federal'!L32+'calculo de ingresos propios'!L32</f>
        <v>0</v>
      </c>
      <c r="M32" s="74">
        <f>'remanentes 2012'!M32+'Presupuestacion estatal'!M32+'Presupuestacion federal'!M32+'calculo de ingresos propios'!M32</f>
        <v>0</v>
      </c>
      <c r="N32" s="74">
        <f>'remanentes 2012'!N32+'Presupuestacion estatal'!N32+'Presupuestacion federal'!N32+'calculo de ingresos propios'!N32</f>
        <v>0</v>
      </c>
      <c r="O32" s="74">
        <f>'remanentes 2012'!O32+'Presupuestacion estatal'!O32+'Presupuestacion federal'!O32+'calculo de ingresos propios'!O32</f>
        <v>0</v>
      </c>
      <c r="P32" s="74">
        <f>'remanentes 2012'!P32+'Presupuestacion estatal'!P32+'Presupuestacion federal'!P32+'calculo de ingresos propios'!P32</f>
        <v>0</v>
      </c>
      <c r="Q32" s="33"/>
    </row>
    <row r="33" spans="1:17" s="34" customFormat="1" x14ac:dyDescent="0.2">
      <c r="A33" s="54">
        <v>2161</v>
      </c>
      <c r="B33" s="54"/>
      <c r="C33" s="49" t="s">
        <v>45</v>
      </c>
      <c r="D33" s="61">
        <f t="shared" si="2"/>
        <v>60000</v>
      </c>
      <c r="E33" s="74">
        <f>'remanentes 2012'!E33+'Presupuestacion estatal'!E33+'Presupuestacion federal'!E33+'calculo de ingresos propios'!E33+COECYTJAL!E33</f>
        <v>5000</v>
      </c>
      <c r="F33" s="74">
        <f>'remanentes 2012'!F33+'Presupuestacion estatal'!F33+'Presupuestacion federal'!F33+'calculo de ingresos propios'!F33</f>
        <v>0</v>
      </c>
      <c r="G33" s="74">
        <f>'remanentes 2012'!G33+'Presupuestacion estatal'!G33+'Presupuestacion federal'!G33+'calculo de ingresos propios'!G33</f>
        <v>5000</v>
      </c>
      <c r="H33" s="74">
        <f>'remanentes 2012'!H33+'Presupuestacion estatal'!H33+'Presupuestacion federal'!H33+'calculo de ingresos propios'!H33</f>
        <v>6000</v>
      </c>
      <c r="I33" s="74">
        <f>'remanentes 2012'!I33+'Presupuestacion estatal'!I33+'Presupuestacion federal'!I33+'calculo de ingresos propios'!I33</f>
        <v>5000</v>
      </c>
      <c r="J33" s="74">
        <f>'remanentes 2012'!J33+'Presupuestacion estatal'!J33+'Presupuestacion federal'!J33+'calculo de ingresos propios'!J33</f>
        <v>6000</v>
      </c>
      <c r="K33" s="74">
        <f>'remanentes 2012'!K33+'Presupuestacion estatal'!K33+'Presupuestacion federal'!K33+'calculo de ingresos propios'!K33</f>
        <v>5000</v>
      </c>
      <c r="L33" s="74">
        <f>'remanentes 2012'!L33+'Presupuestacion estatal'!L33+'Presupuestacion federal'!L33+'calculo de ingresos propios'!L33</f>
        <v>6000</v>
      </c>
      <c r="M33" s="74">
        <f>'remanentes 2012'!M33+'Presupuestacion estatal'!M33+'Presupuestacion federal'!M33+'calculo de ingresos propios'!M33</f>
        <v>5000</v>
      </c>
      <c r="N33" s="74">
        <f>'remanentes 2012'!N33+'Presupuestacion estatal'!N33+'Presupuestacion federal'!N33+'calculo de ingresos propios'!N33</f>
        <v>6000</v>
      </c>
      <c r="O33" s="74">
        <f>'remanentes 2012'!O33+'Presupuestacion estatal'!O33+'Presupuestacion federal'!O33+'calculo de ingresos propios'!O33</f>
        <v>5000</v>
      </c>
      <c r="P33" s="74">
        <f>'remanentes 2012'!P33+'Presupuestacion estatal'!P33+'Presupuestacion federal'!P33+'calculo de ingresos propios'!P33</f>
        <v>6000</v>
      </c>
      <c r="Q33" s="33"/>
    </row>
    <row r="34" spans="1:17" s="34" customFormat="1" x14ac:dyDescent="0.2">
      <c r="A34" s="54">
        <v>2171</v>
      </c>
      <c r="B34" s="54"/>
      <c r="C34" s="49" t="s">
        <v>46</v>
      </c>
      <c r="D34" s="61">
        <f t="shared" si="2"/>
        <v>8000</v>
      </c>
      <c r="E34" s="74">
        <f>'remanentes 2012'!E34+'Presupuestacion estatal'!E34+'Presupuestacion federal'!E34+'calculo de ingresos propios'!E34+COECYTJAL!E34</f>
        <v>4000</v>
      </c>
      <c r="F34" s="74">
        <f>'remanentes 2012'!F34+'Presupuestacion estatal'!F34+'Presupuestacion federal'!F34+'calculo de ingresos propios'!F34</f>
        <v>0</v>
      </c>
      <c r="G34" s="74">
        <f>'remanentes 2012'!G34+'Presupuestacion estatal'!G34+'Presupuestacion federal'!G34+'calculo de ingresos propios'!G34</f>
        <v>0</v>
      </c>
      <c r="H34" s="74">
        <f>'remanentes 2012'!H34+'Presupuestacion estatal'!H34+'Presupuestacion federal'!H34+'calculo de ingresos propios'!H34</f>
        <v>0</v>
      </c>
      <c r="I34" s="74">
        <f>'remanentes 2012'!I34+'Presupuestacion estatal'!I34+'Presupuestacion federal'!I34+'calculo de ingresos propios'!I34</f>
        <v>0</v>
      </c>
      <c r="J34" s="74">
        <f>'remanentes 2012'!J34+'Presupuestacion estatal'!J34+'Presupuestacion federal'!J34+'calculo de ingresos propios'!J34</f>
        <v>0</v>
      </c>
      <c r="K34" s="74">
        <f>'remanentes 2012'!K34+'Presupuestacion estatal'!K34+'Presupuestacion federal'!K34+'calculo de ingresos propios'!K34</f>
        <v>0</v>
      </c>
      <c r="L34" s="74">
        <f>'remanentes 2012'!L34+'Presupuestacion estatal'!L34+'Presupuestacion federal'!L34+'calculo de ingresos propios'!L34</f>
        <v>4000</v>
      </c>
      <c r="M34" s="74">
        <f>'remanentes 2012'!M34+'Presupuestacion estatal'!M34+'Presupuestacion federal'!M34+'calculo de ingresos propios'!M34</f>
        <v>0</v>
      </c>
      <c r="N34" s="74">
        <f>'remanentes 2012'!N34+'Presupuestacion estatal'!N34+'Presupuestacion federal'!N34+'calculo de ingresos propios'!N34</f>
        <v>0</v>
      </c>
      <c r="O34" s="74">
        <f>'remanentes 2012'!O34+'Presupuestacion estatal'!O34+'Presupuestacion federal'!O34+'calculo de ingresos propios'!O34</f>
        <v>0</v>
      </c>
      <c r="P34" s="74">
        <f>'remanentes 2012'!P34+'Presupuestacion estatal'!P34+'Presupuestacion federal'!P34+'calculo de ingresos propios'!P34</f>
        <v>0</v>
      </c>
      <c r="Q34" s="33"/>
    </row>
    <row r="35" spans="1:17" s="34" customFormat="1" ht="24" x14ac:dyDescent="0.2">
      <c r="A35" s="54">
        <v>2211</v>
      </c>
      <c r="B35" s="54"/>
      <c r="C35" s="49" t="s">
        <v>47</v>
      </c>
      <c r="D35" s="61">
        <f t="shared" si="2"/>
        <v>70000</v>
      </c>
      <c r="E35" s="74">
        <f>'remanentes 2012'!E35+'Presupuestacion estatal'!E35+'Presupuestacion federal'!E35+'calculo de ingresos propios'!E35+COECYTJAL!E35</f>
        <v>10000</v>
      </c>
      <c r="F35" s="74">
        <f>'remanentes 2012'!F35+'Presupuestacion estatal'!F35+'Presupuestacion federal'!F35+'calculo de ingresos propios'!F35</f>
        <v>0</v>
      </c>
      <c r="G35" s="74">
        <f>'remanentes 2012'!G35+'Presupuestacion estatal'!G35+'Presupuestacion federal'!G35+'calculo de ingresos propios'!G35</f>
        <v>10000</v>
      </c>
      <c r="H35" s="74">
        <f>'remanentes 2012'!H35+'Presupuestacion estatal'!H35+'Presupuestacion federal'!H35+'calculo de ingresos propios'!H35</f>
        <v>0</v>
      </c>
      <c r="I35" s="74">
        <f>'remanentes 2012'!I35+'Presupuestacion estatal'!I35+'Presupuestacion federal'!I35+'calculo de ingresos propios'!I35</f>
        <v>10000</v>
      </c>
      <c r="J35" s="74">
        <f>'remanentes 2012'!J35+'Presupuestacion estatal'!J35+'Presupuestacion federal'!J35+'calculo de ingresos propios'!J35</f>
        <v>10000</v>
      </c>
      <c r="K35" s="74">
        <f>'remanentes 2012'!K35+'Presupuestacion estatal'!K35+'Presupuestacion federal'!K35+'calculo de ingresos propios'!K35</f>
        <v>0</v>
      </c>
      <c r="L35" s="74">
        <f>'remanentes 2012'!L35+'Presupuestacion estatal'!L35+'Presupuestacion federal'!L35+'calculo de ingresos propios'!L35</f>
        <v>10000</v>
      </c>
      <c r="M35" s="74">
        <f>'remanentes 2012'!M35+'Presupuestacion estatal'!M35+'Presupuestacion federal'!M35+'calculo de ingresos propios'!M35</f>
        <v>0</v>
      </c>
      <c r="N35" s="74">
        <f>'remanentes 2012'!N35+'Presupuestacion estatal'!N35+'Presupuestacion federal'!N35+'calculo de ingresos propios'!N35</f>
        <v>10000</v>
      </c>
      <c r="O35" s="74">
        <f>'remanentes 2012'!O35+'Presupuestacion estatal'!O35+'Presupuestacion federal'!O35+'calculo de ingresos propios'!O35</f>
        <v>5000</v>
      </c>
      <c r="P35" s="74">
        <f>'remanentes 2012'!P35+'Presupuestacion estatal'!P35+'Presupuestacion federal'!P35+'calculo de ingresos propios'!P35</f>
        <v>5000</v>
      </c>
      <c r="Q35" s="33"/>
    </row>
    <row r="36" spans="1:17" s="34" customFormat="1" x14ac:dyDescent="0.2">
      <c r="A36" s="54">
        <v>2221</v>
      </c>
      <c r="B36" s="54"/>
      <c r="C36" s="49" t="s">
        <v>48</v>
      </c>
      <c r="D36" s="61">
        <f t="shared" si="2"/>
        <v>6000</v>
      </c>
      <c r="E36" s="74">
        <f>'remanentes 2012'!E36+'Presupuestacion estatal'!E36+'Presupuestacion federal'!E36+'calculo de ingresos propios'!E36+COECYTJAL!E36</f>
        <v>0</v>
      </c>
      <c r="F36" s="74">
        <f>'remanentes 2012'!F36+'Presupuestacion estatal'!F36+'Presupuestacion federal'!F36+'calculo de ingresos propios'!F36</f>
        <v>1000</v>
      </c>
      <c r="G36" s="74">
        <f>'remanentes 2012'!G36+'Presupuestacion estatal'!G36+'Presupuestacion federal'!G36+'calculo de ingresos propios'!G36</f>
        <v>0</v>
      </c>
      <c r="H36" s="74">
        <f>'remanentes 2012'!H36+'Presupuestacion estatal'!H36+'Presupuestacion federal'!H36+'calculo de ingresos propios'!H36</f>
        <v>0</v>
      </c>
      <c r="I36" s="74">
        <f>'remanentes 2012'!I36+'Presupuestacion estatal'!I36+'Presupuestacion federal'!I36+'calculo de ingresos propios'!I36</f>
        <v>3000</v>
      </c>
      <c r="J36" s="74">
        <f>'remanentes 2012'!J36+'Presupuestacion estatal'!J36+'Presupuestacion federal'!J36+'calculo de ingresos propios'!J36</f>
        <v>0</v>
      </c>
      <c r="K36" s="74">
        <f>'remanentes 2012'!K36+'Presupuestacion estatal'!K36+'Presupuestacion federal'!K36+'calculo de ingresos propios'!K36</f>
        <v>0</v>
      </c>
      <c r="L36" s="74">
        <f>'remanentes 2012'!L36+'Presupuestacion estatal'!L36+'Presupuestacion federal'!L36+'calculo de ingresos propios'!L36</f>
        <v>1000</v>
      </c>
      <c r="M36" s="74">
        <f>'remanentes 2012'!M36+'Presupuestacion estatal'!M36+'Presupuestacion federal'!M36+'calculo de ingresos propios'!M36</f>
        <v>0</v>
      </c>
      <c r="N36" s="74">
        <f>'remanentes 2012'!N36+'Presupuestacion estatal'!N36+'Presupuestacion federal'!N36+'calculo de ingresos propios'!N36</f>
        <v>0</v>
      </c>
      <c r="O36" s="74">
        <f>'remanentes 2012'!O36+'Presupuestacion estatal'!O36+'Presupuestacion federal'!O36+'calculo de ingresos propios'!O36</f>
        <v>1000</v>
      </c>
      <c r="P36" s="74">
        <f>'remanentes 2012'!P36+'Presupuestacion estatal'!P36+'Presupuestacion federal'!P36+'calculo de ingresos propios'!P36</f>
        <v>0</v>
      </c>
      <c r="Q36" s="33"/>
    </row>
    <row r="37" spans="1:17" s="34" customFormat="1" x14ac:dyDescent="0.2">
      <c r="A37" s="54">
        <v>2231</v>
      </c>
      <c r="B37" s="54"/>
      <c r="C37" s="49" t="s">
        <v>49</v>
      </c>
      <c r="D37" s="61">
        <f t="shared" si="2"/>
        <v>17128.190000000002</v>
      </c>
      <c r="E37" s="74">
        <f>'remanentes 2012'!E37+'Presupuestacion estatal'!E37+'Presupuestacion federal'!E37+'calculo de ingresos propios'!E37+COECYTJAL!E37</f>
        <v>2128.19</v>
      </c>
      <c r="F37" s="74">
        <f>'remanentes 2012'!F37+'Presupuestacion estatal'!F37+'Presupuestacion federal'!F37+'calculo de ingresos propios'!F37</f>
        <v>10000</v>
      </c>
      <c r="G37" s="74">
        <f>'remanentes 2012'!G37+'Presupuestacion estatal'!G37+'Presupuestacion federal'!G37+'calculo de ingresos propios'!G37</f>
        <v>0</v>
      </c>
      <c r="H37" s="74">
        <f>'remanentes 2012'!H37+'Presupuestacion estatal'!H37+'Presupuestacion federal'!H37+'calculo de ingresos propios'!H37</f>
        <v>0</v>
      </c>
      <c r="I37" s="74">
        <f>'remanentes 2012'!I37+'Presupuestacion estatal'!I37+'Presupuestacion federal'!I37+'calculo de ingresos propios'!I37</f>
        <v>5000</v>
      </c>
      <c r="J37" s="74">
        <f>'remanentes 2012'!J37+'Presupuestacion estatal'!J37+'Presupuestacion federal'!J37+'calculo de ingresos propios'!J37</f>
        <v>0</v>
      </c>
      <c r="K37" s="74">
        <f>'remanentes 2012'!K37+'Presupuestacion estatal'!K37+'Presupuestacion federal'!K37+'calculo de ingresos propios'!K37</f>
        <v>0</v>
      </c>
      <c r="L37" s="74">
        <f>'remanentes 2012'!L37+'Presupuestacion estatal'!L37+'Presupuestacion federal'!L37+'calculo de ingresos propios'!L37</f>
        <v>0</v>
      </c>
      <c r="M37" s="74">
        <f>'remanentes 2012'!M37+'Presupuestacion estatal'!M37+'Presupuestacion federal'!M37+'calculo de ingresos propios'!M37</f>
        <v>0</v>
      </c>
      <c r="N37" s="74">
        <f>'remanentes 2012'!N37+'Presupuestacion estatal'!N37+'Presupuestacion federal'!N37+'calculo de ingresos propios'!N37</f>
        <v>0</v>
      </c>
      <c r="O37" s="74">
        <f>'remanentes 2012'!O37+'Presupuestacion estatal'!O37+'Presupuestacion federal'!O37+'calculo de ingresos propios'!O37</f>
        <v>0</v>
      </c>
      <c r="P37" s="74">
        <f>'remanentes 2012'!P37+'Presupuestacion estatal'!P37+'Presupuestacion federal'!P37+'calculo de ingresos propios'!P37</f>
        <v>0</v>
      </c>
      <c r="Q37" s="33"/>
    </row>
    <row r="38" spans="1:17" s="34" customFormat="1" x14ac:dyDescent="0.2">
      <c r="A38" s="54">
        <v>2411</v>
      </c>
      <c r="B38" s="54"/>
      <c r="C38" s="49" t="s">
        <v>50</v>
      </c>
      <c r="D38" s="61">
        <f t="shared" si="2"/>
        <v>9000</v>
      </c>
      <c r="E38" s="74">
        <f>'remanentes 2012'!E38+'Presupuestacion estatal'!E38+'Presupuestacion federal'!E38+'calculo de ingresos propios'!E38+COECYTJAL!E38</f>
        <v>0</v>
      </c>
      <c r="F38" s="74">
        <f>'remanentes 2012'!F38+'Presupuestacion estatal'!F38+'Presupuestacion federal'!F38+'calculo de ingresos propios'!F38</f>
        <v>0</v>
      </c>
      <c r="G38" s="74">
        <f>'remanentes 2012'!G38+'Presupuestacion estatal'!G38+'Presupuestacion federal'!G38+'calculo de ingresos propios'!G38</f>
        <v>2000</v>
      </c>
      <c r="H38" s="74">
        <f>'remanentes 2012'!H38+'Presupuestacion estatal'!H38+'Presupuestacion federal'!H38+'calculo de ingresos propios'!H38</f>
        <v>0</v>
      </c>
      <c r="I38" s="74">
        <f>'remanentes 2012'!I38+'Presupuestacion estatal'!I38+'Presupuestacion federal'!I38+'calculo de ingresos propios'!I38</f>
        <v>0</v>
      </c>
      <c r="J38" s="74">
        <f>'remanentes 2012'!J38+'Presupuestacion estatal'!J38+'Presupuestacion federal'!J38+'calculo de ingresos propios'!J38</f>
        <v>0</v>
      </c>
      <c r="K38" s="74">
        <f>'remanentes 2012'!K38+'Presupuestacion estatal'!K38+'Presupuestacion federal'!K38+'calculo de ingresos propios'!K38</f>
        <v>0</v>
      </c>
      <c r="L38" s="74">
        <f>'remanentes 2012'!L38+'Presupuestacion estatal'!L38+'Presupuestacion federal'!L38+'calculo de ingresos propios'!L38</f>
        <v>7000</v>
      </c>
      <c r="M38" s="74">
        <f>'remanentes 2012'!M38+'Presupuestacion estatal'!M38+'Presupuestacion federal'!M38+'calculo de ingresos propios'!M38</f>
        <v>0</v>
      </c>
      <c r="N38" s="74">
        <f>'remanentes 2012'!N38+'Presupuestacion estatal'!N38+'Presupuestacion federal'!N38+'calculo de ingresos propios'!N38</f>
        <v>0</v>
      </c>
      <c r="O38" s="74">
        <f>'remanentes 2012'!O38+'Presupuestacion estatal'!O38+'Presupuestacion federal'!O38+'calculo de ingresos propios'!O38</f>
        <v>0</v>
      </c>
      <c r="P38" s="74">
        <f>'remanentes 2012'!P38+'Presupuestacion estatal'!P38+'Presupuestacion federal'!P38+'calculo de ingresos propios'!P38</f>
        <v>0</v>
      </c>
      <c r="Q38" s="33"/>
    </row>
    <row r="39" spans="1:17" s="34" customFormat="1" x14ac:dyDescent="0.2">
      <c r="A39" s="54">
        <v>2421</v>
      </c>
      <c r="B39" s="54"/>
      <c r="C39" s="49" t="s">
        <v>51</v>
      </c>
      <c r="D39" s="61">
        <f t="shared" si="2"/>
        <v>2000</v>
      </c>
      <c r="E39" s="74">
        <f>'remanentes 2012'!E39+'Presupuestacion estatal'!E39+'Presupuestacion federal'!E39+'calculo de ingresos propios'!E39+COECYTJAL!E39</f>
        <v>0</v>
      </c>
      <c r="F39" s="74">
        <f>'remanentes 2012'!F39+'Presupuestacion estatal'!F39+'Presupuestacion federal'!F39+'calculo de ingresos propios'!F39</f>
        <v>0</v>
      </c>
      <c r="G39" s="74">
        <f>'remanentes 2012'!G39+'Presupuestacion estatal'!G39+'Presupuestacion federal'!G39+'calculo de ingresos propios'!G39</f>
        <v>2000</v>
      </c>
      <c r="H39" s="74">
        <f>'remanentes 2012'!H39+'Presupuestacion estatal'!H39+'Presupuestacion federal'!H39+'calculo de ingresos propios'!H39</f>
        <v>0</v>
      </c>
      <c r="I39" s="74">
        <f>'remanentes 2012'!I39+'Presupuestacion estatal'!I39+'Presupuestacion federal'!I39+'calculo de ingresos propios'!I39</f>
        <v>0</v>
      </c>
      <c r="J39" s="74">
        <f>'remanentes 2012'!J39+'Presupuestacion estatal'!J39+'Presupuestacion federal'!J39+'calculo de ingresos propios'!J39</f>
        <v>0</v>
      </c>
      <c r="K39" s="74">
        <f>'remanentes 2012'!K39+'Presupuestacion estatal'!K39+'Presupuestacion federal'!K39+'calculo de ingresos propios'!K39</f>
        <v>0</v>
      </c>
      <c r="L39" s="74">
        <f>'remanentes 2012'!L39+'Presupuestacion estatal'!L39+'Presupuestacion federal'!L39+'calculo de ingresos propios'!L39</f>
        <v>0</v>
      </c>
      <c r="M39" s="74">
        <f>'remanentes 2012'!M39+'Presupuestacion estatal'!M39+'Presupuestacion federal'!M39+'calculo de ingresos propios'!M39</f>
        <v>0</v>
      </c>
      <c r="N39" s="74">
        <f>'remanentes 2012'!N39+'Presupuestacion estatal'!N39+'Presupuestacion federal'!N39+'calculo de ingresos propios'!N39</f>
        <v>0</v>
      </c>
      <c r="O39" s="74">
        <f>'remanentes 2012'!O39+'Presupuestacion estatal'!O39+'Presupuestacion federal'!O39+'calculo de ingresos propios'!O39</f>
        <v>0</v>
      </c>
      <c r="P39" s="74">
        <f>'remanentes 2012'!P39+'Presupuestacion estatal'!P39+'Presupuestacion federal'!P39+'calculo de ingresos propios'!P39</f>
        <v>0</v>
      </c>
      <c r="Q39" s="33"/>
    </row>
    <row r="40" spans="1:17" s="34" customFormat="1" x14ac:dyDescent="0.2">
      <c r="A40" s="54">
        <v>2431</v>
      </c>
      <c r="B40" s="54"/>
      <c r="C40" s="49" t="s">
        <v>52</v>
      </c>
      <c r="D40" s="61">
        <f t="shared" si="2"/>
        <v>7000</v>
      </c>
      <c r="E40" s="74">
        <f>'remanentes 2012'!E40+'Presupuestacion estatal'!E40+'Presupuestacion federal'!E40+'calculo de ingresos propios'!E40+COECYTJAL!E40</f>
        <v>0</v>
      </c>
      <c r="F40" s="74">
        <f>'remanentes 2012'!F40+'Presupuestacion estatal'!F40+'Presupuestacion federal'!F40+'calculo de ingresos propios'!F40</f>
        <v>0</v>
      </c>
      <c r="G40" s="74">
        <f>'remanentes 2012'!G40+'Presupuestacion estatal'!G40+'Presupuestacion federal'!G40+'calculo de ingresos propios'!G40</f>
        <v>2000</v>
      </c>
      <c r="H40" s="74">
        <f>'remanentes 2012'!H40+'Presupuestacion estatal'!H40+'Presupuestacion federal'!H40+'calculo de ingresos propios'!H40</f>
        <v>0</v>
      </c>
      <c r="I40" s="74">
        <f>'remanentes 2012'!I40+'Presupuestacion estatal'!I40+'Presupuestacion federal'!I40+'calculo de ingresos propios'!I40</f>
        <v>0</v>
      </c>
      <c r="J40" s="74">
        <f>'remanentes 2012'!J40+'Presupuestacion estatal'!J40+'Presupuestacion federal'!J40+'calculo de ingresos propios'!J40</f>
        <v>0</v>
      </c>
      <c r="K40" s="74">
        <f>'remanentes 2012'!K40+'Presupuestacion estatal'!K40+'Presupuestacion federal'!K40+'calculo de ingresos propios'!K40</f>
        <v>0</v>
      </c>
      <c r="L40" s="74">
        <f>'remanentes 2012'!L40+'Presupuestacion estatal'!L40+'Presupuestacion federal'!L40+'calculo de ingresos propios'!L40</f>
        <v>5000</v>
      </c>
      <c r="M40" s="74">
        <f>'remanentes 2012'!M40+'Presupuestacion estatal'!M40+'Presupuestacion federal'!M40+'calculo de ingresos propios'!M40</f>
        <v>0</v>
      </c>
      <c r="N40" s="74">
        <f>'remanentes 2012'!N40+'Presupuestacion estatal'!N40+'Presupuestacion federal'!N40+'calculo de ingresos propios'!N40</f>
        <v>0</v>
      </c>
      <c r="O40" s="74">
        <f>'remanentes 2012'!O40+'Presupuestacion estatal'!O40+'Presupuestacion federal'!O40+'calculo de ingresos propios'!O40</f>
        <v>0</v>
      </c>
      <c r="P40" s="74">
        <f>'remanentes 2012'!P40+'Presupuestacion estatal'!P40+'Presupuestacion federal'!P40+'calculo de ingresos propios'!P40</f>
        <v>0</v>
      </c>
      <c r="Q40" s="33"/>
    </row>
    <row r="41" spans="1:17" s="34" customFormat="1" x14ac:dyDescent="0.2">
      <c r="A41" s="54">
        <v>2441</v>
      </c>
      <c r="B41" s="54"/>
      <c r="C41" s="49" t="s">
        <v>53</v>
      </c>
      <c r="D41" s="61">
        <f t="shared" si="2"/>
        <v>2000</v>
      </c>
      <c r="E41" s="74">
        <f>'remanentes 2012'!E41+'Presupuestacion estatal'!E41+'Presupuestacion federal'!E41+'calculo de ingresos propios'!E41+COECYTJAL!E41</f>
        <v>0</v>
      </c>
      <c r="F41" s="74">
        <f>'remanentes 2012'!F41+'Presupuestacion estatal'!F41+'Presupuestacion federal'!F41+'calculo de ingresos propios'!F41</f>
        <v>0</v>
      </c>
      <c r="G41" s="74">
        <f>'remanentes 2012'!G41+'Presupuestacion estatal'!G41+'Presupuestacion federal'!G41+'calculo de ingresos propios'!G41</f>
        <v>2000</v>
      </c>
      <c r="H41" s="74">
        <f>'remanentes 2012'!H41+'Presupuestacion estatal'!H41+'Presupuestacion federal'!H41+'calculo de ingresos propios'!H41</f>
        <v>0</v>
      </c>
      <c r="I41" s="74">
        <f>'remanentes 2012'!I41+'Presupuestacion estatal'!I41+'Presupuestacion federal'!I41+'calculo de ingresos propios'!I41</f>
        <v>0</v>
      </c>
      <c r="J41" s="74">
        <f>'remanentes 2012'!J41+'Presupuestacion estatal'!J41+'Presupuestacion federal'!J41+'calculo de ingresos propios'!J41</f>
        <v>0</v>
      </c>
      <c r="K41" s="74">
        <f>'remanentes 2012'!K41+'Presupuestacion estatal'!K41+'Presupuestacion federal'!K41+'calculo de ingresos propios'!K41</f>
        <v>0</v>
      </c>
      <c r="L41" s="74">
        <f>'remanentes 2012'!L41+'Presupuestacion estatal'!L41+'Presupuestacion federal'!L41+'calculo de ingresos propios'!L41</f>
        <v>0</v>
      </c>
      <c r="M41" s="74">
        <f>'remanentes 2012'!M41+'Presupuestacion estatal'!M41+'Presupuestacion federal'!M41+'calculo de ingresos propios'!M41</f>
        <v>0</v>
      </c>
      <c r="N41" s="74">
        <f>'remanentes 2012'!N41+'Presupuestacion estatal'!N41+'Presupuestacion federal'!N41+'calculo de ingresos propios'!N41</f>
        <v>0</v>
      </c>
      <c r="O41" s="74">
        <f>'remanentes 2012'!O41+'Presupuestacion estatal'!O41+'Presupuestacion federal'!O41+'calculo de ingresos propios'!O41</f>
        <v>0</v>
      </c>
      <c r="P41" s="74">
        <f>'remanentes 2012'!P41+'Presupuestacion estatal'!P41+'Presupuestacion federal'!P41+'calculo de ingresos propios'!P41</f>
        <v>0</v>
      </c>
      <c r="Q41" s="33"/>
    </row>
    <row r="42" spans="1:17" s="34" customFormat="1" x14ac:dyDescent="0.2">
      <c r="A42" s="54">
        <v>2451</v>
      </c>
      <c r="B42" s="54"/>
      <c r="C42" s="49" t="s">
        <v>54</v>
      </c>
      <c r="D42" s="61">
        <f t="shared" si="2"/>
        <v>6000</v>
      </c>
      <c r="E42" s="74">
        <f>'remanentes 2012'!E42+'Presupuestacion estatal'!E42+'Presupuestacion federal'!E42+'calculo de ingresos propios'!E42+COECYTJAL!E42</f>
        <v>2000</v>
      </c>
      <c r="F42" s="74">
        <f>'remanentes 2012'!F42+'Presupuestacion estatal'!F42+'Presupuestacion federal'!F42+'calculo de ingresos propios'!F42</f>
        <v>0</v>
      </c>
      <c r="G42" s="74">
        <f>'remanentes 2012'!G42+'Presupuestacion estatal'!G42+'Presupuestacion federal'!G42+'calculo de ingresos propios'!G42</f>
        <v>0</v>
      </c>
      <c r="H42" s="74">
        <f>'remanentes 2012'!H42+'Presupuestacion estatal'!H42+'Presupuestacion federal'!H42+'calculo de ingresos propios'!H42</f>
        <v>0</v>
      </c>
      <c r="I42" s="74">
        <f>'remanentes 2012'!I42+'Presupuestacion estatal'!I42+'Presupuestacion federal'!I42+'calculo de ingresos propios'!I42</f>
        <v>0</v>
      </c>
      <c r="J42" s="74">
        <f>'remanentes 2012'!J42+'Presupuestacion estatal'!J42+'Presupuestacion federal'!J42+'calculo de ingresos propios'!J42</f>
        <v>0</v>
      </c>
      <c r="K42" s="74">
        <f>'remanentes 2012'!K42+'Presupuestacion estatal'!K42+'Presupuestacion federal'!K42+'calculo de ingresos propios'!K42</f>
        <v>2000</v>
      </c>
      <c r="L42" s="74">
        <f>'remanentes 2012'!L42+'Presupuestacion estatal'!L42+'Presupuestacion federal'!L42+'calculo de ingresos propios'!L42</f>
        <v>0</v>
      </c>
      <c r="M42" s="74">
        <f>'remanentes 2012'!M42+'Presupuestacion estatal'!M42+'Presupuestacion federal'!M42+'calculo de ingresos propios'!M42</f>
        <v>0</v>
      </c>
      <c r="N42" s="74">
        <f>'remanentes 2012'!N42+'Presupuestacion estatal'!N42+'Presupuestacion federal'!N42+'calculo de ingresos propios'!N42</f>
        <v>2000</v>
      </c>
      <c r="O42" s="74">
        <f>'remanentes 2012'!O42+'Presupuestacion estatal'!O42+'Presupuestacion federal'!O42+'calculo de ingresos propios'!O42</f>
        <v>0</v>
      </c>
      <c r="P42" s="74">
        <f>'remanentes 2012'!P42+'Presupuestacion estatal'!P42+'Presupuestacion federal'!P42+'calculo de ingresos propios'!P42</f>
        <v>0</v>
      </c>
      <c r="Q42" s="33"/>
    </row>
    <row r="43" spans="1:17" s="34" customFormat="1" x14ac:dyDescent="0.2">
      <c r="A43" s="54">
        <v>2461</v>
      </c>
      <c r="B43" s="54"/>
      <c r="C43" s="49" t="s">
        <v>55</v>
      </c>
      <c r="D43" s="61">
        <f t="shared" si="2"/>
        <v>20000</v>
      </c>
      <c r="E43" s="74">
        <f>'remanentes 2012'!E43+'Presupuestacion estatal'!E43+'Presupuestacion federal'!E43+'calculo de ingresos propios'!E43+COECYTJAL!E43</f>
        <v>20000</v>
      </c>
      <c r="F43" s="74">
        <f>'remanentes 2012'!F43+'Presupuestacion estatal'!F43+'Presupuestacion federal'!F43+'calculo de ingresos propios'!F43</f>
        <v>0</v>
      </c>
      <c r="G43" s="74">
        <f>'remanentes 2012'!G43+'Presupuestacion estatal'!G43+'Presupuestacion federal'!G43+'calculo de ingresos propios'!G43</f>
        <v>0</v>
      </c>
      <c r="H43" s="74">
        <f>'remanentes 2012'!H43+'Presupuestacion estatal'!H43+'Presupuestacion federal'!H43+'calculo de ingresos propios'!H43</f>
        <v>0</v>
      </c>
      <c r="I43" s="74">
        <f>'remanentes 2012'!I43+'Presupuestacion estatal'!I43+'Presupuestacion federal'!I43+'calculo de ingresos propios'!I43</f>
        <v>0</v>
      </c>
      <c r="J43" s="74">
        <f>'remanentes 2012'!J43+'Presupuestacion estatal'!J43+'Presupuestacion federal'!J43+'calculo de ingresos propios'!J43</f>
        <v>0</v>
      </c>
      <c r="K43" s="74">
        <f>'remanentes 2012'!K43+'Presupuestacion estatal'!K43+'Presupuestacion federal'!K43+'calculo de ingresos propios'!K43</f>
        <v>0</v>
      </c>
      <c r="L43" s="74">
        <f>'remanentes 2012'!L43+'Presupuestacion estatal'!L43+'Presupuestacion federal'!L43+'calculo de ingresos propios'!L43</f>
        <v>0</v>
      </c>
      <c r="M43" s="74">
        <f>'remanentes 2012'!M43+'Presupuestacion estatal'!M43+'Presupuestacion federal'!M43+'calculo de ingresos propios'!M43</f>
        <v>0</v>
      </c>
      <c r="N43" s="74">
        <f>'remanentes 2012'!N43+'Presupuestacion estatal'!N43+'Presupuestacion federal'!N43+'calculo de ingresos propios'!N43</f>
        <v>0</v>
      </c>
      <c r="O43" s="74">
        <f>'remanentes 2012'!O43+'Presupuestacion estatal'!O43+'Presupuestacion federal'!O43+'calculo de ingresos propios'!O43</f>
        <v>0</v>
      </c>
      <c r="P43" s="74">
        <f>'remanentes 2012'!P43+'Presupuestacion estatal'!P43+'Presupuestacion federal'!P43+'calculo de ingresos propios'!P43</f>
        <v>0</v>
      </c>
      <c r="Q43" s="33"/>
    </row>
    <row r="44" spans="1:17" s="34" customFormat="1" x14ac:dyDescent="0.2">
      <c r="A44" s="55">
        <v>2471</v>
      </c>
      <c r="B44" s="55"/>
      <c r="C44" s="49" t="s">
        <v>56</v>
      </c>
      <c r="D44" s="61">
        <f t="shared" si="2"/>
        <v>28224.68</v>
      </c>
      <c r="E44" s="74">
        <f>'remanentes 2012'!E44+'Presupuestacion estatal'!E44+'Presupuestacion federal'!E44+'calculo de ingresos propios'!E44+COECYTJAL!E44</f>
        <v>2224.6799999999998</v>
      </c>
      <c r="F44" s="74">
        <f>'remanentes 2012'!F44+'Presupuestacion estatal'!F44+'Presupuestacion federal'!F44+'calculo de ingresos propios'!F44</f>
        <v>0</v>
      </c>
      <c r="G44" s="74">
        <f>'remanentes 2012'!G44+'Presupuestacion estatal'!G44+'Presupuestacion federal'!G44+'calculo de ingresos propios'!G44</f>
        <v>0</v>
      </c>
      <c r="H44" s="74">
        <f>'remanentes 2012'!H44+'Presupuestacion estatal'!H44+'Presupuestacion federal'!H44+'calculo de ingresos propios'!H44</f>
        <v>2000</v>
      </c>
      <c r="I44" s="74">
        <f>'remanentes 2012'!I44+'Presupuestacion estatal'!I44+'Presupuestacion federal'!I44+'calculo de ingresos propios'!I44</f>
        <v>20000</v>
      </c>
      <c r="J44" s="74">
        <f>'remanentes 2012'!J44+'Presupuestacion estatal'!J44+'Presupuestacion federal'!J44+'calculo de ingresos propios'!J44</f>
        <v>2000</v>
      </c>
      <c r="K44" s="74">
        <f>'remanentes 2012'!K44+'Presupuestacion estatal'!K44+'Presupuestacion federal'!K44+'calculo de ingresos propios'!K44</f>
        <v>0</v>
      </c>
      <c r="L44" s="74">
        <f>'remanentes 2012'!L44+'Presupuestacion estatal'!L44+'Presupuestacion federal'!L44+'calculo de ingresos propios'!L44</f>
        <v>2000</v>
      </c>
      <c r="M44" s="74">
        <f>'remanentes 2012'!M44+'Presupuestacion estatal'!M44+'Presupuestacion federal'!M44+'calculo de ingresos propios'!M44</f>
        <v>0</v>
      </c>
      <c r="N44" s="74">
        <f>'remanentes 2012'!N44+'Presupuestacion estatal'!N44+'Presupuestacion federal'!N44+'calculo de ingresos propios'!N44</f>
        <v>0</v>
      </c>
      <c r="O44" s="74">
        <f>'remanentes 2012'!O44+'Presupuestacion estatal'!O44+'Presupuestacion federal'!O44+'calculo de ingresos propios'!O44</f>
        <v>0</v>
      </c>
      <c r="P44" s="74">
        <f>'remanentes 2012'!P44+'Presupuestacion estatal'!P44+'Presupuestacion federal'!P44+'calculo de ingresos propios'!P44</f>
        <v>0</v>
      </c>
      <c r="Q44" s="33"/>
    </row>
    <row r="45" spans="1:17" s="34" customFormat="1" x14ac:dyDescent="0.2">
      <c r="A45" s="55">
        <v>2481</v>
      </c>
      <c r="B45" s="55"/>
      <c r="C45" s="49" t="s">
        <v>57</v>
      </c>
      <c r="D45" s="61">
        <f t="shared" si="2"/>
        <v>14000</v>
      </c>
      <c r="E45" s="74">
        <f>'remanentes 2012'!E45+'Presupuestacion estatal'!E45+'Presupuestacion federal'!E45+'calculo de ingresos propios'!E45+COECYTJAL!E45</f>
        <v>0</v>
      </c>
      <c r="F45" s="74">
        <f>'remanentes 2012'!F45+'Presupuestacion estatal'!F45+'Presupuestacion federal'!F45+'calculo de ingresos propios'!F45</f>
        <v>2000</v>
      </c>
      <c r="G45" s="74">
        <f>'remanentes 2012'!G45+'Presupuestacion estatal'!G45+'Presupuestacion federal'!G45+'calculo de ingresos propios'!G45</f>
        <v>0</v>
      </c>
      <c r="H45" s="74">
        <f>'remanentes 2012'!H45+'Presupuestacion estatal'!H45+'Presupuestacion federal'!H45+'calculo de ingresos propios'!H45</f>
        <v>0</v>
      </c>
      <c r="I45" s="74">
        <f>'remanentes 2012'!I45+'Presupuestacion estatal'!I45+'Presupuestacion federal'!I45+'calculo de ingresos propios'!I45</f>
        <v>0</v>
      </c>
      <c r="J45" s="74">
        <f>'remanentes 2012'!J45+'Presupuestacion estatal'!J45+'Presupuestacion federal'!J45+'calculo de ingresos propios'!J45</f>
        <v>0</v>
      </c>
      <c r="K45" s="74">
        <f>'remanentes 2012'!K45+'Presupuestacion estatal'!K45+'Presupuestacion federal'!K45+'calculo de ingresos propios'!K45</f>
        <v>2000</v>
      </c>
      <c r="L45" s="74">
        <f>'remanentes 2012'!L45+'Presupuestacion estatal'!L45+'Presupuestacion federal'!L45+'calculo de ingresos propios'!L45</f>
        <v>10000</v>
      </c>
      <c r="M45" s="74">
        <f>'remanentes 2012'!M45+'Presupuestacion estatal'!M45+'Presupuestacion federal'!M45+'calculo de ingresos propios'!M45</f>
        <v>0</v>
      </c>
      <c r="N45" s="74">
        <f>'remanentes 2012'!N45+'Presupuestacion estatal'!N45+'Presupuestacion federal'!N45+'calculo de ingresos propios'!N45</f>
        <v>0</v>
      </c>
      <c r="O45" s="74">
        <f>'remanentes 2012'!O45+'Presupuestacion estatal'!O45+'Presupuestacion federal'!O45+'calculo de ingresos propios'!O45</f>
        <v>0</v>
      </c>
      <c r="P45" s="74">
        <f>'remanentes 2012'!P45+'Presupuestacion estatal'!P45+'Presupuestacion federal'!P45+'calculo de ingresos propios'!P45</f>
        <v>0</v>
      </c>
      <c r="Q45" s="33"/>
    </row>
    <row r="46" spans="1:17" s="34" customFormat="1" ht="24" x14ac:dyDescent="0.2">
      <c r="A46" s="54">
        <v>2491</v>
      </c>
      <c r="B46" s="54"/>
      <c r="C46" s="49" t="s">
        <v>58</v>
      </c>
      <c r="D46" s="61">
        <f t="shared" si="2"/>
        <v>13000</v>
      </c>
      <c r="E46" s="74">
        <f>'remanentes 2012'!E46+'Presupuestacion estatal'!E46+'Presupuestacion federal'!E46+'calculo de ingresos propios'!E46+COECYTJAL!E46</f>
        <v>0</v>
      </c>
      <c r="F46" s="74">
        <f>'remanentes 2012'!F46+'Presupuestacion estatal'!F46+'Presupuestacion federal'!F46+'calculo de ingresos propios'!F46</f>
        <v>2000</v>
      </c>
      <c r="G46" s="74">
        <f>'remanentes 2012'!G46+'Presupuestacion estatal'!G46+'Presupuestacion federal'!G46+'calculo de ingresos propios'!G46</f>
        <v>0</v>
      </c>
      <c r="H46" s="74">
        <f>'remanentes 2012'!H46+'Presupuestacion estatal'!H46+'Presupuestacion federal'!H46+'calculo de ingresos propios'!H46</f>
        <v>2000</v>
      </c>
      <c r="I46" s="74">
        <f>'remanentes 2012'!I46+'Presupuestacion estatal'!I46+'Presupuestacion federal'!I46+'calculo de ingresos propios'!I46</f>
        <v>0</v>
      </c>
      <c r="J46" s="74">
        <f>'remanentes 2012'!J46+'Presupuestacion estatal'!J46+'Presupuestacion federal'!J46+'calculo de ingresos propios'!J46</f>
        <v>2000</v>
      </c>
      <c r="K46" s="74">
        <f>'remanentes 2012'!K46+'Presupuestacion estatal'!K46+'Presupuestacion federal'!K46+'calculo de ingresos propios'!K46</f>
        <v>0</v>
      </c>
      <c r="L46" s="74">
        <f>'remanentes 2012'!L46+'Presupuestacion estatal'!L46+'Presupuestacion federal'!L46+'calculo de ingresos propios'!L46</f>
        <v>5000</v>
      </c>
      <c r="M46" s="74">
        <f>'remanentes 2012'!M46+'Presupuestacion estatal'!M46+'Presupuestacion federal'!M46+'calculo de ingresos propios'!M46</f>
        <v>0</v>
      </c>
      <c r="N46" s="74">
        <f>'remanentes 2012'!N46+'Presupuestacion estatal'!N46+'Presupuestacion federal'!N46+'calculo de ingresos propios'!N46</f>
        <v>2000</v>
      </c>
      <c r="O46" s="74">
        <f>'remanentes 2012'!O46+'Presupuestacion estatal'!O46+'Presupuestacion federal'!O46+'calculo de ingresos propios'!O46</f>
        <v>0</v>
      </c>
      <c r="P46" s="74">
        <f>'remanentes 2012'!P46+'Presupuestacion estatal'!P46+'Presupuestacion federal'!P46+'calculo de ingresos propios'!P46</f>
        <v>0</v>
      </c>
      <c r="Q46" s="33"/>
    </row>
    <row r="47" spans="1:17" s="34" customFormat="1" x14ac:dyDescent="0.2">
      <c r="A47" s="54">
        <v>2511</v>
      </c>
      <c r="B47" s="54"/>
      <c r="C47" s="49" t="s">
        <v>59</v>
      </c>
      <c r="D47" s="61">
        <f t="shared" si="2"/>
        <v>41904.26</v>
      </c>
      <c r="E47" s="74">
        <f>'remanentes 2012'!E47+'Presupuestacion estatal'!E47+'Presupuestacion federal'!E47+'calculo de ingresos propios'!E47+COECYTJAL!E47</f>
        <v>1904.26</v>
      </c>
      <c r="F47" s="74">
        <f>'remanentes 2012'!F47+'Presupuestacion estatal'!F47+'Presupuestacion federal'!F47+'calculo de ingresos propios'!F47</f>
        <v>0</v>
      </c>
      <c r="G47" s="74">
        <f>'remanentes 2012'!G47+'Presupuestacion estatal'!G47+'Presupuestacion federal'!G47+'calculo de ingresos propios'!G47</f>
        <v>40000</v>
      </c>
      <c r="H47" s="74">
        <f>'remanentes 2012'!H47+'Presupuestacion estatal'!H47+'Presupuestacion federal'!H47+'calculo de ingresos propios'!H47</f>
        <v>0</v>
      </c>
      <c r="I47" s="74">
        <f>'remanentes 2012'!I47+'Presupuestacion estatal'!I47+'Presupuestacion federal'!I47+'calculo de ingresos propios'!I47</f>
        <v>0</v>
      </c>
      <c r="J47" s="74">
        <f>'remanentes 2012'!J47+'Presupuestacion estatal'!J47+'Presupuestacion federal'!J47+'calculo de ingresos propios'!J47</f>
        <v>0</v>
      </c>
      <c r="K47" s="74">
        <f>'remanentes 2012'!K47+'Presupuestacion estatal'!K47+'Presupuestacion federal'!K47+'calculo de ingresos propios'!K47</f>
        <v>0</v>
      </c>
      <c r="L47" s="74">
        <f>'remanentes 2012'!L47+'Presupuestacion estatal'!L47+'Presupuestacion federal'!L47+'calculo de ingresos propios'!L47</f>
        <v>0</v>
      </c>
      <c r="M47" s="74">
        <f>'remanentes 2012'!M47+'Presupuestacion estatal'!M47+'Presupuestacion federal'!M47+'calculo de ingresos propios'!M47</f>
        <v>0</v>
      </c>
      <c r="N47" s="74">
        <f>'remanentes 2012'!N47+'Presupuestacion estatal'!N47+'Presupuestacion federal'!N47+'calculo de ingresos propios'!N47</f>
        <v>0</v>
      </c>
      <c r="O47" s="74">
        <f>'remanentes 2012'!O47+'Presupuestacion estatal'!O47+'Presupuestacion federal'!O47+'calculo de ingresos propios'!O47</f>
        <v>0</v>
      </c>
      <c r="P47" s="74">
        <f>'remanentes 2012'!P47+'Presupuestacion estatal'!P47+'Presupuestacion federal'!P47+'calculo de ingresos propios'!P47</f>
        <v>0</v>
      </c>
      <c r="Q47" s="33"/>
    </row>
    <row r="48" spans="1:17" s="34" customFormat="1" x14ac:dyDescent="0.2">
      <c r="A48" s="54">
        <v>2521</v>
      </c>
      <c r="B48" s="54"/>
      <c r="C48" s="49" t="s">
        <v>60</v>
      </c>
      <c r="D48" s="61">
        <f t="shared" si="2"/>
        <v>14400</v>
      </c>
      <c r="E48" s="74">
        <f>'remanentes 2012'!E48+'Presupuestacion estatal'!E48+'Presupuestacion federal'!E48+'calculo de ingresos propios'!E48+COECYTJAL!E48</f>
        <v>0</v>
      </c>
      <c r="F48" s="74">
        <f>'remanentes 2012'!F48+'Presupuestacion estatal'!F48+'Presupuestacion federal'!F48+'calculo de ingresos propios'!F48</f>
        <v>0</v>
      </c>
      <c r="G48" s="74">
        <f>'remanentes 2012'!G48+'Presupuestacion estatal'!G48+'Presupuestacion federal'!G48+'calculo de ingresos propios'!G48</f>
        <v>0</v>
      </c>
      <c r="H48" s="74">
        <f>'remanentes 2012'!H48+'Presupuestacion estatal'!H48+'Presupuestacion federal'!H48+'calculo de ingresos propios'!H48</f>
        <v>0</v>
      </c>
      <c r="I48" s="74">
        <f>'remanentes 2012'!I48+'Presupuestacion estatal'!I48+'Presupuestacion federal'!I48+'calculo de ingresos propios'!I48</f>
        <v>0</v>
      </c>
      <c r="J48" s="74">
        <f>'remanentes 2012'!J48+'Presupuestacion estatal'!J48+'Presupuestacion federal'!J48+'calculo de ingresos propios'!J48</f>
        <v>0</v>
      </c>
      <c r="K48" s="74">
        <f>'remanentes 2012'!K48+'Presupuestacion estatal'!K48+'Presupuestacion federal'!K48+'calculo de ingresos propios'!K48</f>
        <v>0</v>
      </c>
      <c r="L48" s="74">
        <f>'remanentes 2012'!L48+'Presupuestacion estatal'!L48+'Presupuestacion federal'!L48+'calculo de ingresos propios'!L48</f>
        <v>14400</v>
      </c>
      <c r="M48" s="74">
        <f>'remanentes 2012'!M48+'Presupuestacion estatal'!M48+'Presupuestacion federal'!M48+'calculo de ingresos propios'!M48</f>
        <v>0</v>
      </c>
      <c r="N48" s="74">
        <f>'remanentes 2012'!N48+'Presupuestacion estatal'!N48+'Presupuestacion federal'!N48+'calculo de ingresos propios'!N48</f>
        <v>0</v>
      </c>
      <c r="O48" s="74">
        <f>'remanentes 2012'!O48+'Presupuestacion estatal'!O48+'Presupuestacion federal'!O48+'calculo de ingresos propios'!O48</f>
        <v>0</v>
      </c>
      <c r="P48" s="74">
        <f>'remanentes 2012'!P48+'Presupuestacion estatal'!P48+'Presupuestacion federal'!P48+'calculo de ingresos propios'!P48</f>
        <v>0</v>
      </c>
      <c r="Q48" s="33"/>
    </row>
    <row r="49" spans="1:17" s="34" customFormat="1" x14ac:dyDescent="0.2">
      <c r="A49" s="54">
        <v>2531</v>
      </c>
      <c r="B49" s="54"/>
      <c r="C49" s="49" t="s">
        <v>61</v>
      </c>
      <c r="D49" s="61">
        <f t="shared" si="2"/>
        <v>4000</v>
      </c>
      <c r="E49" s="74">
        <f>'remanentes 2012'!E49+'Presupuestacion estatal'!E49+'Presupuestacion federal'!E49+'calculo de ingresos propios'!E49+COECYTJAL!E49</f>
        <v>2000</v>
      </c>
      <c r="F49" s="74">
        <f>'remanentes 2012'!F49+'Presupuestacion estatal'!F49+'Presupuestacion federal'!F49+'calculo de ingresos propios'!F49</f>
        <v>0</v>
      </c>
      <c r="G49" s="74">
        <f>'remanentes 2012'!G49+'Presupuestacion estatal'!G49+'Presupuestacion federal'!G49+'calculo de ingresos propios'!G49</f>
        <v>0</v>
      </c>
      <c r="H49" s="74">
        <f>'remanentes 2012'!H49+'Presupuestacion estatal'!H49+'Presupuestacion federal'!H49+'calculo de ingresos propios'!H49</f>
        <v>0</v>
      </c>
      <c r="I49" s="74">
        <f>'remanentes 2012'!I49+'Presupuestacion estatal'!I49+'Presupuestacion federal'!I49+'calculo de ingresos propios'!I49</f>
        <v>0</v>
      </c>
      <c r="J49" s="74">
        <f>'remanentes 2012'!J49+'Presupuestacion estatal'!J49+'Presupuestacion federal'!J49+'calculo de ingresos propios'!J49</f>
        <v>0</v>
      </c>
      <c r="K49" s="74">
        <f>'remanentes 2012'!K49+'Presupuestacion estatal'!K49+'Presupuestacion federal'!K49+'calculo de ingresos propios'!K49</f>
        <v>0</v>
      </c>
      <c r="L49" s="74">
        <f>'remanentes 2012'!L49+'Presupuestacion estatal'!L49+'Presupuestacion federal'!L49+'calculo de ingresos propios'!L49</f>
        <v>2000</v>
      </c>
      <c r="M49" s="74">
        <f>'remanentes 2012'!M49+'Presupuestacion estatal'!M49+'Presupuestacion federal'!M49+'calculo de ingresos propios'!M49</f>
        <v>0</v>
      </c>
      <c r="N49" s="74">
        <f>'remanentes 2012'!N49+'Presupuestacion estatal'!N49+'Presupuestacion federal'!N49+'calculo de ingresos propios'!N49</f>
        <v>0</v>
      </c>
      <c r="O49" s="74">
        <f>'remanentes 2012'!O49+'Presupuestacion estatal'!O49+'Presupuestacion federal'!O49+'calculo de ingresos propios'!O49</f>
        <v>0</v>
      </c>
      <c r="P49" s="74">
        <f>'remanentes 2012'!P49+'Presupuestacion estatal'!P49+'Presupuestacion federal'!P49+'calculo de ingresos propios'!P49</f>
        <v>0</v>
      </c>
      <c r="Q49" s="33"/>
    </row>
    <row r="50" spans="1:17" s="34" customFormat="1" ht="24" x14ac:dyDescent="0.2">
      <c r="A50" s="54">
        <v>2541</v>
      </c>
      <c r="B50" s="54"/>
      <c r="C50" s="49" t="s">
        <v>62</v>
      </c>
      <c r="D50" s="61">
        <f t="shared" si="2"/>
        <v>6000</v>
      </c>
      <c r="E50" s="74">
        <f>'remanentes 2012'!E50+'Presupuestacion estatal'!E50+'Presupuestacion federal'!E50+'calculo de ingresos propios'!E50+COECYTJAL!E50</f>
        <v>6000</v>
      </c>
      <c r="F50" s="74">
        <f>'remanentes 2012'!F50+'Presupuestacion estatal'!F50+'Presupuestacion federal'!F50+'calculo de ingresos propios'!F50</f>
        <v>0</v>
      </c>
      <c r="G50" s="74">
        <f>'remanentes 2012'!G50+'Presupuestacion estatal'!G50+'Presupuestacion federal'!G50+'calculo de ingresos propios'!G50</f>
        <v>0</v>
      </c>
      <c r="H50" s="74">
        <f>'remanentes 2012'!H50+'Presupuestacion estatal'!H50+'Presupuestacion federal'!H50+'calculo de ingresos propios'!H50</f>
        <v>0</v>
      </c>
      <c r="I50" s="74">
        <f>'remanentes 2012'!I50+'Presupuestacion estatal'!I50+'Presupuestacion federal'!I50+'calculo de ingresos propios'!I50</f>
        <v>0</v>
      </c>
      <c r="J50" s="74">
        <f>'remanentes 2012'!J50+'Presupuestacion estatal'!J50+'Presupuestacion federal'!J50+'calculo de ingresos propios'!J50</f>
        <v>0</v>
      </c>
      <c r="K50" s="74">
        <f>'remanentes 2012'!K50+'Presupuestacion estatal'!K50+'Presupuestacion federal'!K50+'calculo de ingresos propios'!K50</f>
        <v>0</v>
      </c>
      <c r="L50" s="74">
        <f>'remanentes 2012'!L50+'Presupuestacion estatal'!L50+'Presupuestacion federal'!L50+'calculo de ingresos propios'!L50</f>
        <v>0</v>
      </c>
      <c r="M50" s="74">
        <f>'remanentes 2012'!M50+'Presupuestacion estatal'!M50+'Presupuestacion federal'!M50+'calculo de ingresos propios'!M50</f>
        <v>0</v>
      </c>
      <c r="N50" s="74">
        <f>'remanentes 2012'!N50+'Presupuestacion estatal'!N50+'Presupuestacion federal'!N50+'calculo de ingresos propios'!N50</f>
        <v>0</v>
      </c>
      <c r="O50" s="74">
        <f>'remanentes 2012'!O50+'Presupuestacion estatal'!O50+'Presupuestacion federal'!O50+'calculo de ingresos propios'!O50</f>
        <v>0</v>
      </c>
      <c r="P50" s="74">
        <f>'remanentes 2012'!P50+'Presupuestacion estatal'!P50+'Presupuestacion federal'!P50+'calculo de ingresos propios'!P50</f>
        <v>0</v>
      </c>
      <c r="Q50" s="33"/>
    </row>
    <row r="51" spans="1:17" s="34" customFormat="1" ht="24" x14ac:dyDescent="0.2">
      <c r="A51" s="54">
        <v>2551</v>
      </c>
      <c r="B51" s="54"/>
      <c r="C51" s="49" t="s">
        <v>63</v>
      </c>
      <c r="D51" s="61">
        <f t="shared" si="2"/>
        <v>62740.33</v>
      </c>
      <c r="E51" s="74">
        <f>'remanentes 2012'!E51+'Presupuestacion estatal'!E51+'Presupuestacion federal'!E51+'calculo de ingresos propios'!E51+COECYTJAL!E51</f>
        <v>6740.33</v>
      </c>
      <c r="F51" s="74">
        <f>'remanentes 2012'!F51+'Presupuestacion estatal'!F51+'Presupuestacion federal'!F51+'calculo de ingresos propios'!F51</f>
        <v>0</v>
      </c>
      <c r="G51" s="74">
        <f>'remanentes 2012'!G51+'Presupuestacion estatal'!G51+'Presupuestacion federal'!G51+'calculo de ingresos propios'!G51</f>
        <v>10000</v>
      </c>
      <c r="H51" s="74">
        <f>'remanentes 2012'!H51+'Presupuestacion estatal'!H51+'Presupuestacion federal'!H51+'calculo de ingresos propios'!H51</f>
        <v>12000</v>
      </c>
      <c r="I51" s="74">
        <f>'remanentes 2012'!I51+'Presupuestacion estatal'!I51+'Presupuestacion federal'!I51+'calculo de ingresos propios'!I51</f>
        <v>20000</v>
      </c>
      <c r="J51" s="74">
        <f>'remanentes 2012'!J51+'Presupuestacion estatal'!J51+'Presupuestacion federal'!J51+'calculo de ingresos propios'!J51</f>
        <v>0</v>
      </c>
      <c r="K51" s="74">
        <f>'remanentes 2012'!K51+'Presupuestacion estatal'!K51+'Presupuestacion federal'!K51+'calculo de ingresos propios'!K51</f>
        <v>0</v>
      </c>
      <c r="L51" s="74">
        <f>'remanentes 2012'!L51+'Presupuestacion estatal'!L51+'Presupuestacion federal'!L51+'calculo de ingresos propios'!L51</f>
        <v>10000</v>
      </c>
      <c r="M51" s="74">
        <f>'remanentes 2012'!M51+'Presupuestacion estatal'!M51+'Presupuestacion federal'!M51+'calculo de ingresos propios'!M51</f>
        <v>0</v>
      </c>
      <c r="N51" s="74">
        <f>'remanentes 2012'!N51+'Presupuestacion estatal'!N51+'Presupuestacion federal'!N51+'calculo de ingresos propios'!N51</f>
        <v>4000</v>
      </c>
      <c r="O51" s="74">
        <f>'remanentes 2012'!O51+'Presupuestacion estatal'!O51+'Presupuestacion federal'!O51+'calculo de ingresos propios'!O51</f>
        <v>0</v>
      </c>
      <c r="P51" s="74">
        <f>'remanentes 2012'!P51+'Presupuestacion estatal'!P51+'Presupuestacion federal'!P51+'calculo de ingresos propios'!P51</f>
        <v>0</v>
      </c>
      <c r="Q51" s="33"/>
    </row>
    <row r="52" spans="1:17" s="34" customFormat="1" x14ac:dyDescent="0.2">
      <c r="A52" s="54">
        <v>2561</v>
      </c>
      <c r="B52" s="54"/>
      <c r="C52" s="49" t="s">
        <v>64</v>
      </c>
      <c r="D52" s="61">
        <f t="shared" si="2"/>
        <v>38000</v>
      </c>
      <c r="E52" s="74">
        <f>'remanentes 2012'!E52+'Presupuestacion estatal'!E52+'Presupuestacion federal'!E52+'calculo de ingresos propios'!E52+COECYTJAL!E52</f>
        <v>0</v>
      </c>
      <c r="F52" s="74">
        <f>'remanentes 2012'!F52+'Presupuestacion estatal'!F52+'Presupuestacion federal'!F52+'calculo de ingresos propios'!F52</f>
        <v>3000</v>
      </c>
      <c r="G52" s="74">
        <f>'remanentes 2012'!G52+'Presupuestacion estatal'!G52+'Presupuestacion federal'!G52+'calculo de ingresos propios'!G52</f>
        <v>0</v>
      </c>
      <c r="H52" s="74">
        <f>'remanentes 2012'!H52+'Presupuestacion estatal'!H52+'Presupuestacion federal'!H52+'calculo de ingresos propios'!H52</f>
        <v>0</v>
      </c>
      <c r="I52" s="74">
        <f>'remanentes 2012'!I52+'Presupuestacion estatal'!I52+'Presupuestacion federal'!I52+'calculo de ingresos propios'!I52</f>
        <v>20000</v>
      </c>
      <c r="J52" s="74">
        <f>'remanentes 2012'!J52+'Presupuestacion estatal'!J52+'Presupuestacion federal'!J52+'calculo de ingresos propios'!J52</f>
        <v>0</v>
      </c>
      <c r="K52" s="74">
        <f>'remanentes 2012'!K52+'Presupuestacion estatal'!K52+'Presupuestacion federal'!K52+'calculo de ingresos propios'!K52</f>
        <v>0</v>
      </c>
      <c r="L52" s="74">
        <f>'remanentes 2012'!L52+'Presupuestacion estatal'!L52+'Presupuestacion federal'!L52+'calculo de ingresos propios'!L52</f>
        <v>5000</v>
      </c>
      <c r="M52" s="74">
        <f>'remanentes 2012'!M52+'Presupuestacion estatal'!M52+'Presupuestacion federal'!M52+'calculo de ingresos propios'!M52</f>
        <v>0</v>
      </c>
      <c r="N52" s="74">
        <f>'remanentes 2012'!N52+'Presupuestacion estatal'!N52+'Presupuestacion federal'!N52+'calculo de ingresos propios'!N52</f>
        <v>0</v>
      </c>
      <c r="O52" s="74">
        <f>'remanentes 2012'!O52+'Presupuestacion estatal'!O52+'Presupuestacion federal'!O52+'calculo de ingresos propios'!O52</f>
        <v>10000</v>
      </c>
      <c r="P52" s="74">
        <f>'remanentes 2012'!P52+'Presupuestacion estatal'!P52+'Presupuestacion federal'!P52+'calculo de ingresos propios'!P52</f>
        <v>0</v>
      </c>
      <c r="Q52" s="33"/>
    </row>
    <row r="53" spans="1:17" s="34" customFormat="1" x14ac:dyDescent="0.2">
      <c r="A53" s="54">
        <v>2591</v>
      </c>
      <c r="B53" s="54"/>
      <c r="C53" s="49" t="s">
        <v>65</v>
      </c>
      <c r="D53" s="61">
        <f t="shared" si="2"/>
        <v>44422.26</v>
      </c>
      <c r="E53" s="74">
        <f>'remanentes 2012'!E53+'Presupuestacion estatal'!E53+'Presupuestacion federal'!E53+'calculo de ingresos propios'!E53+COECYTJAL!E53</f>
        <v>34422.26</v>
      </c>
      <c r="F53" s="74">
        <f>'remanentes 2012'!F53+'Presupuestacion estatal'!F53+'Presupuestacion federal'!F53+'calculo de ingresos propios'!F53</f>
        <v>0</v>
      </c>
      <c r="G53" s="74">
        <f>'remanentes 2012'!G53+'Presupuestacion estatal'!G53+'Presupuestacion federal'!G53+'calculo de ingresos propios'!G53</f>
        <v>0</v>
      </c>
      <c r="H53" s="74">
        <f>'remanentes 2012'!H53+'Presupuestacion estatal'!H53+'Presupuestacion federal'!H53+'calculo de ingresos propios'!H53</f>
        <v>0</v>
      </c>
      <c r="I53" s="74">
        <f>'remanentes 2012'!I53+'Presupuestacion estatal'!I53+'Presupuestacion federal'!I53+'calculo de ingresos propios'!I53</f>
        <v>0</v>
      </c>
      <c r="J53" s="74">
        <f>'remanentes 2012'!J53+'Presupuestacion estatal'!J53+'Presupuestacion federal'!J53+'calculo de ingresos propios'!J53</f>
        <v>0</v>
      </c>
      <c r="K53" s="74">
        <f>'remanentes 2012'!K53+'Presupuestacion estatal'!K53+'Presupuestacion federal'!K53+'calculo de ingresos propios'!K53</f>
        <v>0</v>
      </c>
      <c r="L53" s="74">
        <f>'remanentes 2012'!L53+'Presupuestacion estatal'!L53+'Presupuestacion federal'!L53+'calculo de ingresos propios'!L53</f>
        <v>10000</v>
      </c>
      <c r="M53" s="74">
        <f>'remanentes 2012'!M53+'Presupuestacion estatal'!M53+'Presupuestacion federal'!M53+'calculo de ingresos propios'!M53</f>
        <v>0</v>
      </c>
      <c r="N53" s="74">
        <f>'remanentes 2012'!N53+'Presupuestacion estatal'!N53+'Presupuestacion federal'!N53+'calculo de ingresos propios'!N53</f>
        <v>0</v>
      </c>
      <c r="O53" s="74">
        <f>'remanentes 2012'!O53+'Presupuestacion estatal'!O53+'Presupuestacion federal'!O53+'calculo de ingresos propios'!O53</f>
        <v>0</v>
      </c>
      <c r="P53" s="74">
        <f>'remanentes 2012'!P53+'Presupuestacion estatal'!P53+'Presupuestacion federal'!P53+'calculo de ingresos propios'!P53</f>
        <v>0</v>
      </c>
      <c r="Q53" s="33"/>
    </row>
    <row r="54" spans="1:17" s="34" customFormat="1" x14ac:dyDescent="0.2">
      <c r="A54" s="54">
        <v>2611</v>
      </c>
      <c r="B54" s="54"/>
      <c r="C54" s="49" t="s">
        <v>66</v>
      </c>
      <c r="D54" s="61">
        <f t="shared" si="2"/>
        <v>202000</v>
      </c>
      <c r="E54" s="74">
        <f>'remanentes 2012'!E54+'Presupuestacion estatal'!E54+'Presupuestacion federal'!E54+'calculo de ingresos propios'!E54+COECYTJAL!E54</f>
        <v>8000</v>
      </c>
      <c r="F54" s="74">
        <f>'remanentes 2012'!F54+'Presupuestacion estatal'!F54+'Presupuestacion federal'!F54+'calculo de ingresos propios'!F54</f>
        <v>10000</v>
      </c>
      <c r="G54" s="74">
        <f>'remanentes 2012'!G54+'Presupuestacion estatal'!G54+'Presupuestacion federal'!G54+'calculo de ingresos propios'!G54</f>
        <v>10000</v>
      </c>
      <c r="H54" s="74">
        <f>'remanentes 2012'!H54+'Presupuestacion estatal'!H54+'Presupuestacion federal'!H54+'calculo de ingresos propios'!H54</f>
        <v>10000</v>
      </c>
      <c r="I54" s="74">
        <f>'remanentes 2012'!I54+'Presupuestacion estatal'!I54+'Presupuestacion federal'!I54+'calculo de ingresos propios'!I54</f>
        <v>30000</v>
      </c>
      <c r="J54" s="74">
        <f>'remanentes 2012'!J54+'Presupuestacion estatal'!J54+'Presupuestacion federal'!J54+'calculo de ingresos propios'!J54</f>
        <v>12000</v>
      </c>
      <c r="K54" s="74">
        <f>'remanentes 2012'!K54+'Presupuestacion estatal'!K54+'Presupuestacion federal'!K54+'calculo de ingresos propios'!K54</f>
        <v>12000</v>
      </c>
      <c r="L54" s="74">
        <f>'remanentes 2012'!L54+'Presupuestacion estatal'!L54+'Presupuestacion federal'!L54+'calculo de ingresos propios'!L54</f>
        <v>8000</v>
      </c>
      <c r="M54" s="74">
        <f>'remanentes 2012'!M54+'Presupuestacion estatal'!M54+'Presupuestacion federal'!M54+'calculo de ingresos propios'!M54</f>
        <v>12000</v>
      </c>
      <c r="N54" s="74">
        <f>'remanentes 2012'!N54+'Presupuestacion estatal'!N54+'Presupuestacion federal'!N54+'calculo de ingresos propios'!N54</f>
        <v>12000</v>
      </c>
      <c r="O54" s="74">
        <f>'remanentes 2012'!O54+'Presupuestacion estatal'!O54+'Presupuestacion federal'!O54+'calculo de ingresos propios'!O54</f>
        <v>50000</v>
      </c>
      <c r="P54" s="74">
        <f>'remanentes 2012'!P54+'Presupuestacion estatal'!P54+'Presupuestacion federal'!P54+'calculo de ingresos propios'!P54</f>
        <v>28000</v>
      </c>
      <c r="Q54" s="33"/>
    </row>
    <row r="55" spans="1:17" s="34" customFormat="1" x14ac:dyDescent="0.2">
      <c r="A55" s="54">
        <v>2612</v>
      </c>
      <c r="B55" s="54"/>
      <c r="C55" s="49" t="s">
        <v>67</v>
      </c>
      <c r="D55" s="61">
        <f t="shared" si="2"/>
        <v>11000</v>
      </c>
      <c r="E55" s="74">
        <f>'remanentes 2012'!E55+'Presupuestacion estatal'!E55+'Presupuestacion federal'!E55+'calculo de ingresos propios'!E55+COECYTJAL!E55</f>
        <v>3000</v>
      </c>
      <c r="F55" s="74">
        <f>'remanentes 2012'!F55+'Presupuestacion estatal'!F55+'Presupuestacion federal'!F55+'calculo de ingresos propios'!F55</f>
        <v>0</v>
      </c>
      <c r="G55" s="74">
        <f>'remanentes 2012'!G55+'Presupuestacion estatal'!G55+'Presupuestacion federal'!G55+'calculo de ingresos propios'!G55</f>
        <v>0</v>
      </c>
      <c r="H55" s="74">
        <f>'remanentes 2012'!H55+'Presupuestacion estatal'!H55+'Presupuestacion federal'!H55+'calculo de ingresos propios'!H55</f>
        <v>2000</v>
      </c>
      <c r="I55" s="74">
        <f>'remanentes 2012'!I55+'Presupuestacion estatal'!I55+'Presupuestacion federal'!I55+'calculo de ingresos propios'!I55</f>
        <v>0</v>
      </c>
      <c r="J55" s="74">
        <f>'remanentes 2012'!J55+'Presupuestacion estatal'!J55+'Presupuestacion federal'!J55+'calculo de ingresos propios'!J55</f>
        <v>2000</v>
      </c>
      <c r="K55" s="74">
        <f>'remanentes 2012'!K55+'Presupuestacion estatal'!K55+'Presupuestacion federal'!K55+'calculo de ingresos propios'!K55</f>
        <v>0</v>
      </c>
      <c r="L55" s="74">
        <f>'remanentes 2012'!L55+'Presupuestacion estatal'!L55+'Presupuestacion federal'!L55+'calculo de ingresos propios'!L55</f>
        <v>2000</v>
      </c>
      <c r="M55" s="74">
        <f>'remanentes 2012'!M55+'Presupuestacion estatal'!M55+'Presupuestacion federal'!M55+'calculo de ingresos propios'!M55</f>
        <v>0</v>
      </c>
      <c r="N55" s="74">
        <f>'remanentes 2012'!N55+'Presupuestacion estatal'!N55+'Presupuestacion federal'!N55+'calculo de ingresos propios'!N55</f>
        <v>0</v>
      </c>
      <c r="O55" s="74">
        <f>'remanentes 2012'!O55+'Presupuestacion estatal'!O55+'Presupuestacion federal'!O55+'calculo de ingresos propios'!O55</f>
        <v>2000</v>
      </c>
      <c r="P55" s="74">
        <f>'remanentes 2012'!P55+'Presupuestacion estatal'!P55+'Presupuestacion federal'!P55+'calculo de ingresos propios'!P55</f>
        <v>0</v>
      </c>
      <c r="Q55" s="33"/>
    </row>
    <row r="56" spans="1:17" s="34" customFormat="1" x14ac:dyDescent="0.2">
      <c r="A56" s="54">
        <v>2711</v>
      </c>
      <c r="B56" s="54"/>
      <c r="C56" s="49" t="s">
        <v>68</v>
      </c>
      <c r="D56" s="61">
        <f t="shared" si="2"/>
        <v>6000</v>
      </c>
      <c r="E56" s="74">
        <f>'remanentes 2012'!E56+'Presupuestacion estatal'!E56+'Presupuestacion federal'!E56+'calculo de ingresos propios'!E56+COECYTJAL!E56</f>
        <v>0</v>
      </c>
      <c r="F56" s="74">
        <f>'remanentes 2012'!F56+'Presupuestacion estatal'!F56+'Presupuestacion federal'!F56+'calculo de ingresos propios'!F56</f>
        <v>2000</v>
      </c>
      <c r="G56" s="74">
        <f>'remanentes 2012'!G56+'Presupuestacion estatal'!G56+'Presupuestacion federal'!G56+'calculo de ingresos propios'!G56</f>
        <v>0</v>
      </c>
      <c r="H56" s="74">
        <f>'remanentes 2012'!H56+'Presupuestacion estatal'!H56+'Presupuestacion federal'!H56+'calculo de ingresos propios'!H56</f>
        <v>0</v>
      </c>
      <c r="I56" s="74">
        <f>'remanentes 2012'!I56+'Presupuestacion estatal'!I56+'Presupuestacion federal'!I56+'calculo de ingresos propios'!I56</f>
        <v>0</v>
      </c>
      <c r="J56" s="74">
        <f>'remanentes 2012'!J56+'Presupuestacion estatal'!J56+'Presupuestacion federal'!J56+'calculo de ingresos propios'!J56</f>
        <v>0</v>
      </c>
      <c r="K56" s="74">
        <f>'remanentes 2012'!K56+'Presupuestacion estatal'!K56+'Presupuestacion federal'!K56+'calculo de ingresos propios'!K56</f>
        <v>0</v>
      </c>
      <c r="L56" s="74">
        <f>'remanentes 2012'!L56+'Presupuestacion estatal'!L56+'Presupuestacion federal'!L56+'calculo de ingresos propios'!L56</f>
        <v>4000</v>
      </c>
      <c r="M56" s="74">
        <f>'remanentes 2012'!M56+'Presupuestacion estatal'!M56+'Presupuestacion federal'!M56+'calculo de ingresos propios'!M56</f>
        <v>0</v>
      </c>
      <c r="N56" s="74">
        <f>'remanentes 2012'!N56+'Presupuestacion estatal'!N56+'Presupuestacion federal'!N56+'calculo de ingresos propios'!N56</f>
        <v>0</v>
      </c>
      <c r="O56" s="74">
        <f>'remanentes 2012'!O56+'Presupuestacion estatal'!O56+'Presupuestacion federal'!O56+'calculo de ingresos propios'!O56</f>
        <v>0</v>
      </c>
      <c r="P56" s="74">
        <f>'remanentes 2012'!P56+'Presupuestacion estatal'!P56+'Presupuestacion federal'!P56+'calculo de ingresos propios'!P56</f>
        <v>0</v>
      </c>
      <c r="Q56" s="33"/>
    </row>
    <row r="57" spans="1:17" s="34" customFormat="1" x14ac:dyDescent="0.2">
      <c r="A57" s="54">
        <v>2721</v>
      </c>
      <c r="B57" s="54"/>
      <c r="C57" s="49" t="s">
        <v>69</v>
      </c>
      <c r="D57" s="61">
        <f t="shared" si="2"/>
        <v>12000</v>
      </c>
      <c r="E57" s="74">
        <f>'remanentes 2012'!E57+'Presupuestacion estatal'!E57+'Presupuestacion federal'!E57+'calculo de ingresos propios'!E57+COECYTJAL!E57</f>
        <v>0</v>
      </c>
      <c r="F57" s="74">
        <f>'remanentes 2012'!F57+'Presupuestacion estatal'!F57+'Presupuestacion federal'!F57+'calculo de ingresos propios'!F57</f>
        <v>0</v>
      </c>
      <c r="G57" s="74">
        <f>'remanentes 2012'!G57+'Presupuestacion estatal'!G57+'Presupuestacion federal'!G57+'calculo de ingresos propios'!G57</f>
        <v>6000</v>
      </c>
      <c r="H57" s="74">
        <f>'remanentes 2012'!H57+'Presupuestacion estatal'!H57+'Presupuestacion federal'!H57+'calculo de ingresos propios'!H57</f>
        <v>6000</v>
      </c>
      <c r="I57" s="74">
        <f>'remanentes 2012'!I57+'Presupuestacion estatal'!I57+'Presupuestacion federal'!I57+'calculo de ingresos propios'!I57</f>
        <v>0</v>
      </c>
      <c r="J57" s="74">
        <f>'remanentes 2012'!J57+'Presupuestacion estatal'!J57+'Presupuestacion federal'!J57+'calculo de ingresos propios'!J57</f>
        <v>0</v>
      </c>
      <c r="K57" s="74">
        <f>'remanentes 2012'!K57+'Presupuestacion estatal'!K57+'Presupuestacion federal'!K57+'calculo de ingresos propios'!K57</f>
        <v>0</v>
      </c>
      <c r="L57" s="74">
        <f>'remanentes 2012'!L57+'Presupuestacion estatal'!L57+'Presupuestacion federal'!L57+'calculo de ingresos propios'!L57</f>
        <v>0</v>
      </c>
      <c r="M57" s="74">
        <f>'remanentes 2012'!M57+'Presupuestacion estatal'!M57+'Presupuestacion federal'!M57+'calculo de ingresos propios'!M57</f>
        <v>0</v>
      </c>
      <c r="N57" s="74">
        <f>'remanentes 2012'!N57+'Presupuestacion estatal'!N57+'Presupuestacion federal'!N57+'calculo de ingresos propios'!N57</f>
        <v>0</v>
      </c>
      <c r="O57" s="74">
        <f>'remanentes 2012'!O57+'Presupuestacion estatal'!O57+'Presupuestacion federal'!O57+'calculo de ingresos propios'!O57</f>
        <v>0</v>
      </c>
      <c r="P57" s="74">
        <f>'remanentes 2012'!P57+'Presupuestacion estatal'!P57+'Presupuestacion federal'!P57+'calculo de ingresos propios'!P57</f>
        <v>0</v>
      </c>
      <c r="Q57" s="33"/>
    </row>
    <row r="58" spans="1:17" s="34" customFormat="1" x14ac:dyDescent="0.2">
      <c r="A58" s="54">
        <v>2731</v>
      </c>
      <c r="B58" s="54"/>
      <c r="C58" s="49" t="s">
        <v>70</v>
      </c>
      <c r="D58" s="61">
        <f t="shared" si="2"/>
        <v>10000</v>
      </c>
      <c r="E58" s="74">
        <f>'remanentes 2012'!E58+'Presupuestacion estatal'!E58+'Presupuestacion federal'!E58+'calculo de ingresos propios'!E58+COECYTJAL!E58</f>
        <v>5000</v>
      </c>
      <c r="F58" s="74">
        <f>'remanentes 2012'!F58+'Presupuestacion estatal'!F58+'Presupuestacion federal'!F58+'calculo de ingresos propios'!F58</f>
        <v>0</v>
      </c>
      <c r="G58" s="74">
        <f>'remanentes 2012'!G58+'Presupuestacion estatal'!G58+'Presupuestacion federal'!G58+'calculo de ingresos propios'!G58</f>
        <v>0</v>
      </c>
      <c r="H58" s="74">
        <f>'remanentes 2012'!H58+'Presupuestacion estatal'!H58+'Presupuestacion federal'!H58+'calculo de ingresos propios'!H58</f>
        <v>0</v>
      </c>
      <c r="I58" s="74">
        <f>'remanentes 2012'!I58+'Presupuestacion estatal'!I58+'Presupuestacion federal'!I58+'calculo de ingresos propios'!I58</f>
        <v>0</v>
      </c>
      <c r="J58" s="74">
        <f>'remanentes 2012'!J58+'Presupuestacion estatal'!J58+'Presupuestacion federal'!J58+'calculo de ingresos propios'!J58</f>
        <v>0</v>
      </c>
      <c r="K58" s="74">
        <f>'remanentes 2012'!K58+'Presupuestacion estatal'!K58+'Presupuestacion federal'!K58+'calculo de ingresos propios'!K58</f>
        <v>0</v>
      </c>
      <c r="L58" s="74">
        <f>'remanentes 2012'!L58+'Presupuestacion estatal'!L58+'Presupuestacion federal'!L58+'calculo de ingresos propios'!L58</f>
        <v>5000</v>
      </c>
      <c r="M58" s="74">
        <f>'remanentes 2012'!M58+'Presupuestacion estatal'!M58+'Presupuestacion federal'!M58+'calculo de ingresos propios'!M58</f>
        <v>0</v>
      </c>
      <c r="N58" s="74">
        <f>'remanentes 2012'!N58+'Presupuestacion estatal'!N58+'Presupuestacion federal'!N58+'calculo de ingresos propios'!N58</f>
        <v>0</v>
      </c>
      <c r="O58" s="74">
        <f>'remanentes 2012'!O58+'Presupuestacion estatal'!O58+'Presupuestacion federal'!O58+'calculo de ingresos propios'!O58</f>
        <v>0</v>
      </c>
      <c r="P58" s="74">
        <f>'remanentes 2012'!P58+'Presupuestacion estatal'!P58+'Presupuestacion federal'!P58+'calculo de ingresos propios'!P58</f>
        <v>0</v>
      </c>
      <c r="Q58" s="33"/>
    </row>
    <row r="59" spans="1:17" s="34" customFormat="1" x14ac:dyDescent="0.2">
      <c r="A59" s="54">
        <v>2911</v>
      </c>
      <c r="B59" s="128"/>
      <c r="C59" s="51" t="s">
        <v>71</v>
      </c>
      <c r="D59" s="61">
        <f t="shared" si="2"/>
        <v>40000</v>
      </c>
      <c r="E59" s="74">
        <f>'remanentes 2012'!E59+'Presupuestacion estatal'!E59+'Presupuestacion federal'!E59+'calculo de ingresos propios'!E59+COECYTJAL!E59</f>
        <v>0</v>
      </c>
      <c r="F59" s="74">
        <f>'remanentes 2012'!F59+'Presupuestacion estatal'!F59+'Presupuestacion federal'!F59+'calculo de ingresos propios'!F59</f>
        <v>4000</v>
      </c>
      <c r="G59" s="74">
        <f>'remanentes 2012'!G59+'Presupuestacion estatal'!G59+'Presupuestacion federal'!G59+'calculo de ingresos propios'!G59</f>
        <v>0</v>
      </c>
      <c r="H59" s="74">
        <f>'remanentes 2012'!H59+'Presupuestacion estatal'!H59+'Presupuestacion federal'!H59+'calculo de ingresos propios'!H59</f>
        <v>0</v>
      </c>
      <c r="I59" s="74">
        <f>'remanentes 2012'!I59+'Presupuestacion estatal'!I59+'Presupuestacion federal'!I59+'calculo de ingresos propios'!I59</f>
        <v>20000</v>
      </c>
      <c r="J59" s="74">
        <f>'remanentes 2012'!J59+'Presupuestacion estatal'!J59+'Presupuestacion federal'!J59+'calculo de ingresos propios'!J59</f>
        <v>0</v>
      </c>
      <c r="K59" s="74">
        <f>'remanentes 2012'!K59+'Presupuestacion estatal'!K59+'Presupuestacion federal'!K59+'calculo de ingresos propios'!K59</f>
        <v>0</v>
      </c>
      <c r="L59" s="74">
        <f>'remanentes 2012'!L59+'Presupuestacion estatal'!L59+'Presupuestacion federal'!L59+'calculo de ingresos propios'!L59</f>
        <v>16000</v>
      </c>
      <c r="M59" s="74">
        <f>'remanentes 2012'!M59+'Presupuestacion estatal'!M59+'Presupuestacion federal'!M59+'calculo de ingresos propios'!M59</f>
        <v>0</v>
      </c>
      <c r="N59" s="74">
        <f>'remanentes 2012'!N59+'Presupuestacion estatal'!N59+'Presupuestacion federal'!N59+'calculo de ingresos propios'!N59</f>
        <v>0</v>
      </c>
      <c r="O59" s="74">
        <f>'remanentes 2012'!O59+'Presupuestacion estatal'!O59+'Presupuestacion federal'!O59+'calculo de ingresos propios'!O59</f>
        <v>0</v>
      </c>
      <c r="P59" s="74">
        <f>'remanentes 2012'!P59+'Presupuestacion estatal'!P59+'Presupuestacion federal'!P59+'calculo de ingresos propios'!P59</f>
        <v>0</v>
      </c>
      <c r="Q59" s="33"/>
    </row>
    <row r="60" spans="1:17" s="34" customFormat="1" ht="24" x14ac:dyDescent="0.2">
      <c r="A60" s="54">
        <v>2921</v>
      </c>
      <c r="B60" s="128"/>
      <c r="C60" s="51" t="s">
        <v>72</v>
      </c>
      <c r="D60" s="61">
        <f t="shared" si="2"/>
        <v>23000</v>
      </c>
      <c r="E60" s="74">
        <f>'remanentes 2012'!E60+'Presupuestacion estatal'!E60+'Presupuestacion federal'!E60+'calculo de ingresos propios'!E60+COECYTJAL!E60</f>
        <v>0</v>
      </c>
      <c r="F60" s="74">
        <f>'remanentes 2012'!F60+'Presupuestacion estatal'!F60+'Presupuestacion federal'!F60+'calculo de ingresos propios'!F60</f>
        <v>0</v>
      </c>
      <c r="G60" s="74">
        <f>'remanentes 2012'!G60+'Presupuestacion estatal'!G60+'Presupuestacion federal'!G60+'calculo de ingresos propios'!G60</f>
        <v>19000</v>
      </c>
      <c r="H60" s="74">
        <f>'remanentes 2012'!H60+'Presupuestacion estatal'!H60+'Presupuestacion federal'!H60+'calculo de ingresos propios'!H60</f>
        <v>0</v>
      </c>
      <c r="I60" s="74">
        <f>'remanentes 2012'!I60+'Presupuestacion estatal'!I60+'Presupuestacion federal'!I60+'calculo de ingresos propios'!I60</f>
        <v>0</v>
      </c>
      <c r="J60" s="74">
        <f>'remanentes 2012'!J60+'Presupuestacion estatal'!J60+'Presupuestacion federal'!J60+'calculo de ingresos propios'!J60</f>
        <v>0</v>
      </c>
      <c r="K60" s="74">
        <f>'remanentes 2012'!K60+'Presupuestacion estatal'!K60+'Presupuestacion federal'!K60+'calculo de ingresos propios'!K60</f>
        <v>0</v>
      </c>
      <c r="L60" s="74">
        <f>'remanentes 2012'!L60+'Presupuestacion estatal'!L60+'Presupuestacion federal'!L60+'calculo de ingresos propios'!L60</f>
        <v>0</v>
      </c>
      <c r="M60" s="74">
        <f>'remanentes 2012'!M60+'Presupuestacion estatal'!M60+'Presupuestacion federal'!M60+'calculo de ingresos propios'!M60</f>
        <v>0</v>
      </c>
      <c r="N60" s="74">
        <f>'remanentes 2012'!N60+'Presupuestacion estatal'!N60+'Presupuestacion federal'!N60+'calculo de ingresos propios'!N60</f>
        <v>4000</v>
      </c>
      <c r="O60" s="74">
        <f>'remanentes 2012'!O60+'Presupuestacion estatal'!O60+'Presupuestacion federal'!O60+'calculo de ingresos propios'!O60</f>
        <v>0</v>
      </c>
      <c r="P60" s="74">
        <f>'remanentes 2012'!P60+'Presupuestacion estatal'!P60+'Presupuestacion federal'!P60+'calculo de ingresos propios'!P60</f>
        <v>0</v>
      </c>
      <c r="Q60" s="33"/>
    </row>
    <row r="61" spans="1:17" s="34" customFormat="1" ht="36" x14ac:dyDescent="0.2">
      <c r="A61" s="54">
        <v>2931</v>
      </c>
      <c r="B61" s="128"/>
      <c r="C61" s="51" t="s">
        <v>73</v>
      </c>
      <c r="D61" s="61">
        <f t="shared" si="2"/>
        <v>3000</v>
      </c>
      <c r="E61" s="74">
        <f>'remanentes 2012'!E61+'Presupuestacion estatal'!E61+'Presupuestacion federal'!E61+'calculo de ingresos propios'!E61+COECYTJAL!E61</f>
        <v>0</v>
      </c>
      <c r="F61" s="74">
        <f>'remanentes 2012'!F61+'Presupuestacion estatal'!F61+'Presupuestacion federal'!F61+'calculo de ingresos propios'!F61</f>
        <v>2000</v>
      </c>
      <c r="G61" s="74">
        <f>'remanentes 2012'!G61+'Presupuestacion estatal'!G61+'Presupuestacion federal'!G61+'calculo de ingresos propios'!G61</f>
        <v>0</v>
      </c>
      <c r="H61" s="74">
        <f>'remanentes 2012'!H61+'Presupuestacion estatal'!H61+'Presupuestacion federal'!H61+'calculo de ingresos propios'!H61</f>
        <v>0</v>
      </c>
      <c r="I61" s="74">
        <f>'remanentes 2012'!I61+'Presupuestacion estatal'!I61+'Presupuestacion federal'!I61+'calculo de ingresos propios'!I61</f>
        <v>0</v>
      </c>
      <c r="J61" s="74">
        <f>'remanentes 2012'!J61+'Presupuestacion estatal'!J61+'Presupuestacion federal'!J61+'calculo de ingresos propios'!J61</f>
        <v>0</v>
      </c>
      <c r="K61" s="74">
        <f>'remanentes 2012'!K61+'Presupuestacion estatal'!K61+'Presupuestacion federal'!K61+'calculo de ingresos propios'!K61</f>
        <v>0</v>
      </c>
      <c r="L61" s="74">
        <f>'remanentes 2012'!L61+'Presupuestacion estatal'!L61+'Presupuestacion federal'!L61+'calculo de ingresos propios'!L61</f>
        <v>1000</v>
      </c>
      <c r="M61" s="74">
        <f>'remanentes 2012'!M61+'Presupuestacion estatal'!M61+'Presupuestacion federal'!M61+'calculo de ingresos propios'!M61</f>
        <v>0</v>
      </c>
      <c r="N61" s="74">
        <f>'remanentes 2012'!N61+'Presupuestacion estatal'!N61+'Presupuestacion federal'!N61+'calculo de ingresos propios'!N61</f>
        <v>0</v>
      </c>
      <c r="O61" s="74">
        <f>'remanentes 2012'!O61+'Presupuestacion estatal'!O61+'Presupuestacion federal'!O61+'calculo de ingresos propios'!O61</f>
        <v>0</v>
      </c>
      <c r="P61" s="74">
        <f>'remanentes 2012'!P61+'Presupuestacion estatal'!P61+'Presupuestacion federal'!P61+'calculo de ingresos propios'!P61</f>
        <v>0</v>
      </c>
      <c r="Q61" s="33"/>
    </row>
    <row r="62" spans="1:17" s="34" customFormat="1" ht="36" x14ac:dyDescent="0.2">
      <c r="A62" s="54">
        <v>2941</v>
      </c>
      <c r="B62" s="128"/>
      <c r="C62" s="51" t="s">
        <v>74</v>
      </c>
      <c r="D62" s="61">
        <f t="shared" si="2"/>
        <v>4000</v>
      </c>
      <c r="E62" s="74">
        <f>'remanentes 2012'!E62+'Presupuestacion estatal'!E62+'Presupuestacion federal'!E62+'calculo de ingresos propios'!E62+COECYTJAL!E62</f>
        <v>0</v>
      </c>
      <c r="F62" s="74">
        <f>'remanentes 2012'!F62+'Presupuestacion estatal'!F62+'Presupuestacion federal'!F62+'calculo de ingresos propios'!F62</f>
        <v>2000</v>
      </c>
      <c r="G62" s="74">
        <f>'remanentes 2012'!G62+'Presupuestacion estatal'!G62+'Presupuestacion federal'!G62+'calculo de ingresos propios'!G62</f>
        <v>0</v>
      </c>
      <c r="H62" s="74">
        <f>'remanentes 2012'!H62+'Presupuestacion estatal'!H62+'Presupuestacion federal'!H62+'calculo de ingresos propios'!H62</f>
        <v>0</v>
      </c>
      <c r="I62" s="74">
        <f>'remanentes 2012'!I62+'Presupuestacion estatal'!I62+'Presupuestacion federal'!I62+'calculo de ingresos propios'!I62</f>
        <v>0</v>
      </c>
      <c r="J62" s="74">
        <f>'remanentes 2012'!J62+'Presupuestacion estatal'!J62+'Presupuestacion federal'!J62+'calculo de ingresos propios'!J62</f>
        <v>0</v>
      </c>
      <c r="K62" s="74">
        <f>'remanentes 2012'!K62+'Presupuestacion estatal'!K62+'Presupuestacion federal'!K62+'calculo de ingresos propios'!K62</f>
        <v>0</v>
      </c>
      <c r="L62" s="74">
        <f>'remanentes 2012'!L62+'Presupuestacion estatal'!L62+'Presupuestacion federal'!L62+'calculo de ingresos propios'!L62</f>
        <v>2000</v>
      </c>
      <c r="M62" s="74">
        <f>'remanentes 2012'!M62+'Presupuestacion estatal'!M62+'Presupuestacion federal'!M62+'calculo de ingresos propios'!M62</f>
        <v>0</v>
      </c>
      <c r="N62" s="74">
        <f>'remanentes 2012'!N62+'Presupuestacion estatal'!N62+'Presupuestacion federal'!N62+'calculo de ingresos propios'!N62</f>
        <v>0</v>
      </c>
      <c r="O62" s="74">
        <f>'remanentes 2012'!O62+'Presupuestacion estatal'!O62+'Presupuestacion federal'!O62+'calculo de ingresos propios'!O62</f>
        <v>0</v>
      </c>
      <c r="P62" s="74">
        <f>'remanentes 2012'!P62+'Presupuestacion estatal'!P62+'Presupuestacion federal'!P62+'calculo de ingresos propios'!P62</f>
        <v>0</v>
      </c>
      <c r="Q62" s="33"/>
    </row>
    <row r="63" spans="1:17" s="34" customFormat="1" ht="24" x14ac:dyDescent="0.2">
      <c r="A63" s="54">
        <v>2951</v>
      </c>
      <c r="B63" s="128"/>
      <c r="C63" s="51" t="s">
        <v>75</v>
      </c>
      <c r="D63" s="61">
        <f t="shared" si="2"/>
        <v>36000</v>
      </c>
      <c r="E63" s="74">
        <f>'remanentes 2012'!E63+'Presupuestacion estatal'!E63+'Presupuestacion federal'!E63+'calculo de ingresos propios'!E63+COECYTJAL!E63</f>
        <v>0</v>
      </c>
      <c r="F63" s="74">
        <f>'remanentes 2012'!F63+'Presupuestacion estatal'!F63+'Presupuestacion federal'!F63+'calculo de ingresos propios'!F63</f>
        <v>18000</v>
      </c>
      <c r="G63" s="74">
        <f>'remanentes 2012'!G63+'Presupuestacion estatal'!G63+'Presupuestacion federal'!G63+'calculo de ingresos propios'!G63</f>
        <v>0</v>
      </c>
      <c r="H63" s="74">
        <f>'remanentes 2012'!H63+'Presupuestacion estatal'!H63+'Presupuestacion federal'!H63+'calculo de ingresos propios'!H63</f>
        <v>0</v>
      </c>
      <c r="I63" s="74">
        <f>'remanentes 2012'!I63+'Presupuestacion estatal'!I63+'Presupuestacion federal'!I63+'calculo de ingresos propios'!I63</f>
        <v>0</v>
      </c>
      <c r="J63" s="74">
        <f>'remanentes 2012'!J63+'Presupuestacion estatal'!J63+'Presupuestacion federal'!J63+'calculo de ingresos propios'!J63</f>
        <v>0</v>
      </c>
      <c r="K63" s="74">
        <f>'remanentes 2012'!K63+'Presupuestacion estatal'!K63+'Presupuestacion federal'!K63+'calculo de ingresos propios'!K63</f>
        <v>18000</v>
      </c>
      <c r="L63" s="74">
        <f>'remanentes 2012'!L63+'Presupuestacion estatal'!L63+'Presupuestacion federal'!L63+'calculo de ingresos propios'!L63</f>
        <v>0</v>
      </c>
      <c r="M63" s="74">
        <f>'remanentes 2012'!M63+'Presupuestacion estatal'!M63+'Presupuestacion federal'!M63+'calculo de ingresos propios'!M63</f>
        <v>0</v>
      </c>
      <c r="N63" s="74">
        <f>'remanentes 2012'!N63+'Presupuestacion estatal'!N63+'Presupuestacion federal'!N63+'calculo de ingresos propios'!N63</f>
        <v>0</v>
      </c>
      <c r="O63" s="74">
        <f>'remanentes 2012'!O63+'Presupuestacion estatal'!O63+'Presupuestacion federal'!O63+'calculo de ingresos propios'!O63</f>
        <v>0</v>
      </c>
      <c r="P63" s="74">
        <f>'remanentes 2012'!P63+'Presupuestacion estatal'!P63+'Presupuestacion federal'!P63+'calculo de ingresos propios'!P63</f>
        <v>0</v>
      </c>
      <c r="Q63" s="33"/>
    </row>
    <row r="64" spans="1:17" s="34" customFormat="1" ht="24" x14ac:dyDescent="0.2">
      <c r="A64" s="54">
        <v>2961</v>
      </c>
      <c r="B64" s="128"/>
      <c r="C64" s="51" t="s">
        <v>76</v>
      </c>
      <c r="D64" s="61">
        <f>SUM(G64:P64)</f>
        <v>50000</v>
      </c>
      <c r="E64" s="74">
        <f>'remanentes 2012'!E64+'Presupuestacion estatal'!E64+'Presupuestacion federal'!E64+'calculo de ingresos propios'!E64+COECYTJAL!E64</f>
        <v>0</v>
      </c>
      <c r="F64" s="74">
        <f>'remanentes 2012'!F64+'Presupuestacion estatal'!F64+'Presupuestacion federal'!F64+'calculo de ingresos propios'!F64</f>
        <v>0</v>
      </c>
      <c r="G64" s="74">
        <f>'remanentes 2012'!G64+'Presupuestacion estatal'!G64+'Presupuestacion federal'!G64+'calculo de ingresos propios'!G64</f>
        <v>10000</v>
      </c>
      <c r="H64" s="74">
        <f>'remanentes 2012'!H64+'Presupuestacion estatal'!H64+'Presupuestacion federal'!H64+'calculo de ingresos propios'!H64</f>
        <v>10000</v>
      </c>
      <c r="I64" s="74">
        <f>'remanentes 2012'!I64+'Presupuestacion estatal'!I64+'Presupuestacion federal'!I64+'calculo de ingresos propios'!I64</f>
        <v>0</v>
      </c>
      <c r="J64" s="74">
        <f>'remanentes 2012'!J64+'Presupuestacion estatal'!J64+'Presupuestacion federal'!J64+'calculo de ingresos propios'!J64</f>
        <v>10000</v>
      </c>
      <c r="K64" s="74">
        <f>'remanentes 2012'!K64+'Presupuestacion estatal'!K64+'Presupuestacion federal'!K64+'calculo de ingresos propios'!K64</f>
        <v>0</v>
      </c>
      <c r="L64" s="74">
        <f>'remanentes 2012'!L64+'Presupuestacion estatal'!L64+'Presupuestacion federal'!L64+'calculo de ingresos propios'!L64</f>
        <v>0</v>
      </c>
      <c r="M64" s="74">
        <f>'remanentes 2012'!M64+'Presupuestacion estatal'!M64+'Presupuestacion federal'!M64+'calculo de ingresos propios'!M64</f>
        <v>10000</v>
      </c>
      <c r="N64" s="74">
        <f>'remanentes 2012'!N64+'Presupuestacion estatal'!N64+'Presupuestacion federal'!N64+'calculo de ingresos propios'!N64</f>
        <v>0</v>
      </c>
      <c r="O64" s="74">
        <f>'remanentes 2012'!O64+'Presupuestacion estatal'!O64+'Presupuestacion federal'!O64+'calculo de ingresos propios'!O64</f>
        <v>0</v>
      </c>
      <c r="P64" s="74">
        <f>'remanentes 2012'!P64+'Presupuestacion estatal'!P64+'Presupuestacion federal'!P64+'calculo de ingresos propios'!P64</f>
        <v>10000</v>
      </c>
      <c r="Q64" s="33"/>
    </row>
    <row r="65" spans="1:18" s="34" customFormat="1" ht="24" x14ac:dyDescent="0.2">
      <c r="A65" s="54">
        <v>2981</v>
      </c>
      <c r="B65" s="128"/>
      <c r="C65" s="51" t="s">
        <v>77</v>
      </c>
      <c r="D65" s="61">
        <f t="shared" si="2"/>
        <v>3000</v>
      </c>
      <c r="E65" s="74">
        <f>'remanentes 2012'!E65+'Presupuestacion estatal'!E65+'Presupuestacion federal'!E65+'calculo de ingresos propios'!E65+COECYTJAL!E65</f>
        <v>0</v>
      </c>
      <c r="F65" s="74">
        <f>'remanentes 2012'!F65+'Presupuestacion estatal'!F65+'Presupuestacion federal'!F65+'calculo de ingresos propios'!F65</f>
        <v>0</v>
      </c>
      <c r="G65" s="74">
        <f>'remanentes 2012'!G65+'Presupuestacion estatal'!G65+'Presupuestacion federal'!G65+'calculo de ingresos propios'!G65</f>
        <v>0</v>
      </c>
      <c r="H65" s="74">
        <f>'remanentes 2012'!H65+'Presupuestacion estatal'!H65+'Presupuestacion federal'!H65+'calculo de ingresos propios'!H65</f>
        <v>0</v>
      </c>
      <c r="I65" s="74">
        <f>'remanentes 2012'!I65+'Presupuestacion estatal'!I65+'Presupuestacion federal'!I65+'calculo de ingresos propios'!I65</f>
        <v>0</v>
      </c>
      <c r="J65" s="74">
        <f>'remanentes 2012'!J65+'Presupuestacion estatal'!J65+'Presupuestacion federal'!J65+'calculo de ingresos propios'!J65</f>
        <v>3000</v>
      </c>
      <c r="K65" s="74">
        <f>'remanentes 2012'!K65+'Presupuestacion estatal'!K65+'Presupuestacion federal'!K65+'calculo de ingresos propios'!K65</f>
        <v>0</v>
      </c>
      <c r="L65" s="74">
        <f>'remanentes 2012'!L65+'Presupuestacion estatal'!L65+'Presupuestacion federal'!L65+'calculo de ingresos propios'!L65</f>
        <v>0</v>
      </c>
      <c r="M65" s="74">
        <f>'remanentes 2012'!M65+'Presupuestacion estatal'!M65+'Presupuestacion federal'!M65+'calculo de ingresos propios'!M65</f>
        <v>0</v>
      </c>
      <c r="N65" s="74">
        <f>'remanentes 2012'!N65+'Presupuestacion estatal'!N65+'Presupuestacion federal'!N65+'calculo de ingresos propios'!N65</f>
        <v>0</v>
      </c>
      <c r="O65" s="74">
        <f>'remanentes 2012'!O65+'Presupuestacion estatal'!O65+'Presupuestacion federal'!O65+'calculo de ingresos propios'!O65</f>
        <v>0</v>
      </c>
      <c r="P65" s="74">
        <f>'remanentes 2012'!P65+'Presupuestacion estatal'!P65+'Presupuestacion federal'!P65+'calculo de ingresos propios'!P65</f>
        <v>0</v>
      </c>
      <c r="Q65" s="33"/>
    </row>
    <row r="66" spans="1:18" s="21" customFormat="1" ht="24" x14ac:dyDescent="0.2">
      <c r="A66" s="54">
        <v>2991</v>
      </c>
      <c r="B66" s="128"/>
      <c r="C66" s="51" t="s">
        <v>78</v>
      </c>
      <c r="D66" s="61">
        <f t="shared" si="2"/>
        <v>6000</v>
      </c>
      <c r="E66" s="74">
        <f>'remanentes 2012'!E66+'Presupuestacion estatal'!E66+'Presupuestacion federal'!E66+'calculo de ingresos propios'!E66+COECYTJAL!E66</f>
        <v>0</v>
      </c>
      <c r="F66" s="74">
        <f>'remanentes 2012'!F66+'Presupuestacion estatal'!F66+'Presupuestacion federal'!F66+'calculo de ingresos propios'!F66</f>
        <v>1000</v>
      </c>
      <c r="G66" s="74">
        <f>'remanentes 2012'!G66+'Presupuestacion estatal'!G66+'Presupuestacion federal'!G66+'calculo de ingresos propios'!G66</f>
        <v>0</v>
      </c>
      <c r="H66" s="74">
        <f>'remanentes 2012'!H66+'Presupuestacion estatal'!H66+'Presupuestacion federal'!H66+'calculo de ingresos propios'!H66</f>
        <v>0</v>
      </c>
      <c r="I66" s="74">
        <f>'remanentes 2012'!I66+'Presupuestacion estatal'!I66+'Presupuestacion federal'!I66+'calculo de ingresos propios'!I66</f>
        <v>1000</v>
      </c>
      <c r="J66" s="74">
        <f>'remanentes 2012'!J66+'Presupuestacion estatal'!J66+'Presupuestacion federal'!J66+'calculo de ingresos propios'!J66</f>
        <v>0</v>
      </c>
      <c r="K66" s="74">
        <f>'remanentes 2012'!K66+'Presupuestacion estatal'!K66+'Presupuestacion federal'!K66+'calculo de ingresos propios'!K66</f>
        <v>0</v>
      </c>
      <c r="L66" s="74">
        <f>'remanentes 2012'!L66+'Presupuestacion estatal'!L66+'Presupuestacion federal'!L66+'calculo de ingresos propios'!L66</f>
        <v>0</v>
      </c>
      <c r="M66" s="74">
        <f>'remanentes 2012'!M66+'Presupuestacion estatal'!M66+'Presupuestacion federal'!M66+'calculo de ingresos propios'!M66</f>
        <v>1000</v>
      </c>
      <c r="N66" s="74">
        <f>'remanentes 2012'!N66+'Presupuestacion estatal'!N66+'Presupuestacion federal'!N66+'calculo de ingresos propios'!N66</f>
        <v>3000</v>
      </c>
      <c r="O66" s="74">
        <f>'remanentes 2012'!O66+'Presupuestacion estatal'!O66+'Presupuestacion federal'!O66+'calculo de ingresos propios'!O66</f>
        <v>0</v>
      </c>
      <c r="P66" s="74">
        <f>'remanentes 2012'!P66+'Presupuestacion estatal'!P66+'Presupuestacion federal'!P66+'calculo de ingresos propios'!P66</f>
        <v>0</v>
      </c>
      <c r="Q66" s="30"/>
    </row>
    <row r="67" spans="1:18" s="11" customFormat="1" ht="25.5" x14ac:dyDescent="0.2">
      <c r="A67" s="22"/>
      <c r="B67" s="22"/>
      <c r="C67" s="62" t="s">
        <v>17</v>
      </c>
      <c r="D67" s="66">
        <f>SUM(D29:D66)</f>
        <v>1511830.98</v>
      </c>
      <c r="E67" s="24">
        <f t="shared" ref="E67:P67" si="3">SUM(E29:E66)</f>
        <v>172419.72</v>
      </c>
      <c r="F67" s="24">
        <f t="shared" si="3"/>
        <v>59000</v>
      </c>
      <c r="G67" s="24">
        <f t="shared" si="3"/>
        <v>538211.26</v>
      </c>
      <c r="H67" s="24">
        <f t="shared" si="3"/>
        <v>50000</v>
      </c>
      <c r="I67" s="24">
        <f t="shared" si="3"/>
        <v>215600</v>
      </c>
      <c r="J67" s="24">
        <f t="shared" si="3"/>
        <v>47000</v>
      </c>
      <c r="K67" s="24">
        <f t="shared" si="3"/>
        <v>50600</v>
      </c>
      <c r="L67" s="24">
        <f t="shared" si="3"/>
        <v>154400</v>
      </c>
      <c r="M67" s="24">
        <f t="shared" si="3"/>
        <v>28000</v>
      </c>
      <c r="N67" s="24">
        <f t="shared" si="3"/>
        <v>74600</v>
      </c>
      <c r="O67" s="24">
        <f t="shared" si="3"/>
        <v>73000</v>
      </c>
      <c r="P67" s="24">
        <f t="shared" si="3"/>
        <v>49000</v>
      </c>
      <c r="Q67" s="25"/>
      <c r="R67" s="26"/>
    </row>
    <row r="68" spans="1:18" s="21" customFormat="1" x14ac:dyDescent="0.2">
      <c r="A68" s="54">
        <v>3111</v>
      </c>
      <c r="B68" s="54"/>
      <c r="C68" s="49" t="s">
        <v>80</v>
      </c>
      <c r="D68" s="61">
        <f>SUM(E68:P68)</f>
        <v>390000</v>
      </c>
      <c r="E68" s="74">
        <f>'remanentes 2012'!E68+'Presupuestacion estatal'!E68+'Presupuestacion federal'!E68+'calculo de ingresos propios'!E68+COECYTJAL!E68</f>
        <v>35000</v>
      </c>
      <c r="F68" s="74">
        <f>'remanentes 2012'!F68+'Presupuestacion estatal'!F68+'Presupuestacion federal'!F68+'calculo de ingresos propios'!F68</f>
        <v>31463.05</v>
      </c>
      <c r="G68" s="74">
        <f>'remanentes 2012'!G68+'Presupuestacion estatal'!G68+'Presupuestacion federal'!G68+'calculo de ingresos propios'!G68</f>
        <v>23536.95</v>
      </c>
      <c r="H68" s="74">
        <f>'remanentes 2012'!H68+'Presupuestacion estatal'!H68+'Presupuestacion federal'!H68+'calculo de ingresos propios'!H68</f>
        <v>30000</v>
      </c>
      <c r="I68" s="74">
        <f>'remanentes 2012'!I68+'Presupuestacion estatal'!I68+'Presupuestacion federal'!I68+'calculo de ingresos propios'!I68</f>
        <v>30000</v>
      </c>
      <c r="J68" s="74">
        <f>'remanentes 2012'!J68+'Presupuestacion estatal'!J68+'Presupuestacion federal'!J68+'calculo de ingresos propios'!J68</f>
        <v>30000</v>
      </c>
      <c r="K68" s="74">
        <f>'remanentes 2012'!K68+'Presupuestacion estatal'!K68+'Presupuestacion federal'!K68+'calculo de ingresos propios'!K68</f>
        <v>30000</v>
      </c>
      <c r="L68" s="74">
        <f>'remanentes 2012'!L68+'Presupuestacion estatal'!L68+'Presupuestacion federal'!L68+'calculo de ingresos propios'!L68</f>
        <v>30000</v>
      </c>
      <c r="M68" s="74">
        <f>'remanentes 2012'!M68+'Presupuestacion estatal'!M68+'Presupuestacion federal'!M68+'calculo de ingresos propios'!M68</f>
        <v>30000</v>
      </c>
      <c r="N68" s="74">
        <f>'remanentes 2012'!N68+'Presupuestacion estatal'!N68+'Presupuestacion federal'!N68+'calculo de ingresos propios'!N68</f>
        <v>60000</v>
      </c>
      <c r="O68" s="74">
        <f>'remanentes 2012'!O68+'Presupuestacion estatal'!O68+'Presupuestacion federal'!O68+'calculo de ingresos propios'!O68</f>
        <v>30000</v>
      </c>
      <c r="P68" s="74">
        <f>'remanentes 2012'!P68+'Presupuestacion estatal'!P68+'Presupuestacion federal'!P68+'calculo de ingresos propios'!P68</f>
        <v>30000</v>
      </c>
      <c r="Q68" s="30"/>
    </row>
    <row r="69" spans="1:18" s="34" customFormat="1" x14ac:dyDescent="0.2">
      <c r="A69" s="54">
        <v>3121</v>
      </c>
      <c r="B69" s="54"/>
      <c r="C69" s="49" t="s">
        <v>81</v>
      </c>
      <c r="D69" s="61">
        <f t="shared" si="2"/>
        <v>26000</v>
      </c>
      <c r="E69" s="74">
        <f>'remanentes 2012'!E69+'Presupuestacion estatal'!E69+'Presupuestacion federal'!E69+'calculo de ingresos propios'!E69+COECYTJAL!E69</f>
        <v>12000</v>
      </c>
      <c r="F69" s="74">
        <f>'remanentes 2012'!F69+'Presupuestacion estatal'!F69+'Presupuestacion federal'!F69+'calculo de ingresos propios'!F69</f>
        <v>0</v>
      </c>
      <c r="G69" s="74">
        <f>'remanentes 2012'!G69+'Presupuestacion estatal'!G69+'Presupuestacion federal'!G69+'calculo de ingresos propios'!G69</f>
        <v>0</v>
      </c>
      <c r="H69" s="74">
        <f>'remanentes 2012'!H69+'Presupuestacion estatal'!H69+'Presupuestacion federal'!H69+'calculo de ingresos propios'!H69</f>
        <v>0</v>
      </c>
      <c r="I69" s="74">
        <f>'remanentes 2012'!I69+'Presupuestacion estatal'!I69+'Presupuestacion federal'!I69+'calculo de ingresos propios'!I69</f>
        <v>0</v>
      </c>
      <c r="J69" s="74">
        <f>'remanentes 2012'!J69+'Presupuestacion estatal'!J69+'Presupuestacion federal'!J69+'calculo de ingresos propios'!J69</f>
        <v>0</v>
      </c>
      <c r="K69" s="74">
        <f>'remanentes 2012'!K69+'Presupuestacion estatal'!K69+'Presupuestacion federal'!K69+'calculo de ingresos propios'!K69</f>
        <v>0</v>
      </c>
      <c r="L69" s="74">
        <f>'remanentes 2012'!L69+'Presupuestacion estatal'!L69+'Presupuestacion federal'!L69+'calculo de ingresos propios'!L69</f>
        <v>14000</v>
      </c>
      <c r="M69" s="74">
        <f>'remanentes 2012'!M69+'Presupuestacion estatal'!M69+'Presupuestacion federal'!M69+'calculo de ingresos propios'!M69</f>
        <v>0</v>
      </c>
      <c r="N69" s="74">
        <f>'remanentes 2012'!N69+'Presupuestacion estatal'!N69+'Presupuestacion federal'!N69+'calculo de ingresos propios'!N69</f>
        <v>0</v>
      </c>
      <c r="O69" s="74">
        <f>'remanentes 2012'!O69+'Presupuestacion estatal'!O69+'Presupuestacion federal'!O69+'calculo de ingresos propios'!O69</f>
        <v>0</v>
      </c>
      <c r="P69" s="74">
        <f>'remanentes 2012'!P69+'Presupuestacion estatal'!P69+'Presupuestacion federal'!P69+'calculo de ingresos propios'!P69</f>
        <v>0</v>
      </c>
      <c r="Q69" s="33"/>
    </row>
    <row r="70" spans="1:18" s="34" customFormat="1" x14ac:dyDescent="0.2">
      <c r="A70" s="54">
        <v>3141</v>
      </c>
      <c r="B70" s="54"/>
      <c r="C70" s="49" t="s">
        <v>82</v>
      </c>
      <c r="D70" s="61">
        <f>SUM(E70:P70)</f>
        <v>0</v>
      </c>
      <c r="E70" s="74">
        <f>'remanentes 2012'!E70+'Presupuestacion estatal'!E70+'Presupuestacion federal'!E70+'calculo de ingresos propios'!E70+COECYTJAL!E70</f>
        <v>0</v>
      </c>
      <c r="F70" s="74">
        <f>'remanentes 2012'!F70+'Presupuestacion estatal'!F70+'Presupuestacion federal'!F70+'calculo de ingresos propios'!F70</f>
        <v>0</v>
      </c>
      <c r="G70" s="74">
        <f>'remanentes 2012'!G70+'Presupuestacion estatal'!G70+'Presupuestacion federal'!G70+'calculo de ingresos propios'!G70</f>
        <v>0</v>
      </c>
      <c r="H70" s="74">
        <f>'remanentes 2012'!H70+'Presupuestacion estatal'!H70+'Presupuestacion federal'!H70+'calculo de ingresos propios'!H70</f>
        <v>0</v>
      </c>
      <c r="I70" s="74">
        <f>'remanentes 2012'!I70+'Presupuestacion estatal'!I70+'Presupuestacion federal'!I70+'calculo de ingresos propios'!I70</f>
        <v>0</v>
      </c>
      <c r="J70" s="74">
        <f>'remanentes 2012'!J70+'Presupuestacion estatal'!J70+'Presupuestacion federal'!J70+'calculo de ingresos propios'!J70</f>
        <v>0</v>
      </c>
      <c r="K70" s="74">
        <f>'remanentes 2012'!K70+'Presupuestacion estatal'!K70+'Presupuestacion federal'!K70+'calculo de ingresos propios'!K70</f>
        <v>0</v>
      </c>
      <c r="L70" s="74">
        <f>'remanentes 2012'!L70+'Presupuestacion estatal'!L70+'Presupuestacion federal'!L70+'calculo de ingresos propios'!L70</f>
        <v>0</v>
      </c>
      <c r="M70" s="74">
        <f>'remanentes 2012'!M70+'Presupuestacion estatal'!M70+'Presupuestacion federal'!M70+'calculo de ingresos propios'!M70</f>
        <v>0</v>
      </c>
      <c r="N70" s="74">
        <f>'remanentes 2012'!N70+'Presupuestacion estatal'!N70+'Presupuestacion federal'!N70+'calculo de ingresos propios'!N70</f>
        <v>0</v>
      </c>
      <c r="O70" s="74">
        <f>'remanentes 2012'!O70+'Presupuestacion estatal'!O70+'Presupuestacion federal'!O70+'calculo de ingresos propios'!O70</f>
        <v>0</v>
      </c>
      <c r="P70" s="74">
        <f>'remanentes 2012'!P70+'Presupuestacion estatal'!P70+'Presupuestacion federal'!P70+'calculo de ingresos propios'!P70</f>
        <v>0</v>
      </c>
      <c r="Q70" s="33"/>
    </row>
    <row r="71" spans="1:18" s="21" customFormat="1" x14ac:dyDescent="0.2">
      <c r="A71" s="54">
        <v>3151</v>
      </c>
      <c r="B71" s="54"/>
      <c r="C71" s="49" t="s">
        <v>83</v>
      </c>
      <c r="D71" s="61">
        <f>SUM(E71:P71)</f>
        <v>36200</v>
      </c>
      <c r="E71" s="74">
        <f>'remanentes 2012'!E71+'Presupuestacion estatal'!E71+'Presupuestacion federal'!E71+'calculo de ingresos propios'!E71+COECYTJAL!E71</f>
        <v>2600</v>
      </c>
      <c r="F71" s="74">
        <f>'remanentes 2012'!F71+'Presupuestacion estatal'!F71+'Presupuestacion federal'!F71+'calculo de ingresos propios'!F71</f>
        <v>2600</v>
      </c>
      <c r="G71" s="74">
        <f>'remanentes 2012'!G71+'Presupuestacion estatal'!G71+'Presupuestacion federal'!G71+'calculo de ingresos propios'!G71</f>
        <v>7600</v>
      </c>
      <c r="H71" s="74">
        <f>'remanentes 2012'!H71+'Presupuestacion estatal'!H71+'Presupuestacion federal'!H71+'calculo de ingresos propios'!H71</f>
        <v>2600</v>
      </c>
      <c r="I71" s="74">
        <f>'remanentes 2012'!I71+'Presupuestacion estatal'!I71+'Presupuestacion federal'!I71+'calculo de ingresos propios'!I71</f>
        <v>2600</v>
      </c>
      <c r="J71" s="74">
        <f>'remanentes 2012'!J71+'Presupuestacion estatal'!J71+'Presupuestacion federal'!J71+'calculo de ingresos propios'!J71</f>
        <v>2600</v>
      </c>
      <c r="K71" s="74">
        <f>'remanentes 2012'!K71+'Presupuestacion estatal'!K71+'Presupuestacion federal'!K71+'calculo de ingresos propios'!K71</f>
        <v>2600</v>
      </c>
      <c r="L71" s="74">
        <f>'remanentes 2012'!L71+'Presupuestacion estatal'!L71+'Presupuestacion federal'!L71+'calculo de ingresos propios'!L71</f>
        <v>2600</v>
      </c>
      <c r="M71" s="74">
        <f>'remanentes 2012'!M71+'Presupuestacion estatal'!M71+'Presupuestacion federal'!M71+'calculo de ingresos propios'!M71</f>
        <v>2600</v>
      </c>
      <c r="N71" s="74">
        <f>'remanentes 2012'!N71+'Presupuestacion estatal'!N71+'Presupuestacion federal'!N71+'calculo de ingresos propios'!N71</f>
        <v>2600</v>
      </c>
      <c r="O71" s="74">
        <f>'remanentes 2012'!O71+'Presupuestacion estatal'!O71+'Presupuestacion federal'!O71+'calculo de ingresos propios'!O71</f>
        <v>2600</v>
      </c>
      <c r="P71" s="74">
        <f>'remanentes 2012'!P71+'Presupuestacion estatal'!P71+'Presupuestacion federal'!P71+'calculo de ingresos propios'!P71</f>
        <v>2600</v>
      </c>
      <c r="Q71" s="30"/>
    </row>
    <row r="72" spans="1:18" s="34" customFormat="1" ht="24" x14ac:dyDescent="0.2">
      <c r="A72" s="54">
        <v>3171</v>
      </c>
      <c r="B72" s="54"/>
      <c r="C72" s="49" t="s">
        <v>84</v>
      </c>
      <c r="D72" s="61">
        <f>SUM(E72:P72)</f>
        <v>377973.94</v>
      </c>
      <c r="E72" s="74">
        <f>'remanentes 2012'!E72+'Presupuestacion estatal'!E72+'Presupuestacion federal'!E72+'calculo de ingresos propios'!E72+COECYTJAL!E72</f>
        <v>66463.08</v>
      </c>
      <c r="F72" s="74">
        <f>'remanentes 2012'!F72+'Presupuestacion estatal'!F72+'Presupuestacion federal'!F72+'calculo de ingresos propios'!F72</f>
        <v>30000</v>
      </c>
      <c r="G72" s="74">
        <f>'remanentes 2012'!G72+'Presupuestacion estatal'!G72+'Presupuestacion federal'!G72+'calculo de ingresos propios'!G72</f>
        <v>85000</v>
      </c>
      <c r="H72" s="74">
        <f>'remanentes 2012'!H72+'Presupuestacion estatal'!H72+'Presupuestacion federal'!H72+'calculo de ingresos propios'!H72</f>
        <v>20000</v>
      </c>
      <c r="I72" s="74">
        <f>'remanentes 2012'!I72+'Presupuestacion estatal'!I72+'Presupuestacion federal'!I72+'calculo de ingresos propios'!I72</f>
        <v>41000</v>
      </c>
      <c r="J72" s="74">
        <f>'remanentes 2012'!J72+'Presupuestacion estatal'!J72+'Presupuestacion federal'!J72+'calculo de ingresos propios'!J72</f>
        <v>20000</v>
      </c>
      <c r="K72" s="74">
        <f>'remanentes 2012'!K72+'Presupuestacion estatal'!K72+'Presupuestacion federal'!K72+'calculo de ingresos propios'!K72</f>
        <v>20000</v>
      </c>
      <c r="L72" s="74">
        <f>'remanentes 2012'!L72+'Presupuestacion estatal'!L72+'Presupuestacion federal'!L72+'calculo de ingresos propios'!L72</f>
        <v>20000</v>
      </c>
      <c r="M72" s="74">
        <f>'remanentes 2012'!M72+'Presupuestacion estatal'!M72+'Presupuestacion federal'!M72+'calculo de ingresos propios'!M72</f>
        <v>41000</v>
      </c>
      <c r="N72" s="74">
        <f>'remanentes 2012'!N72+'Presupuestacion estatal'!N72+'Presupuestacion federal'!N72+'calculo de ingresos propios'!N72</f>
        <v>7510.86</v>
      </c>
      <c r="O72" s="74">
        <f>'remanentes 2012'!O72+'Presupuestacion estatal'!O72+'Presupuestacion federal'!O72+'calculo de ingresos propios'!O72</f>
        <v>17000</v>
      </c>
      <c r="P72" s="74">
        <f>'remanentes 2012'!P72+'Presupuestacion estatal'!P72+'Presupuestacion federal'!P72+'calculo de ingresos propios'!P72</f>
        <v>10000</v>
      </c>
      <c r="Q72" s="33"/>
    </row>
    <row r="73" spans="1:18" s="34" customFormat="1" x14ac:dyDescent="0.2">
      <c r="A73" s="54">
        <v>3181</v>
      </c>
      <c r="B73" s="54"/>
      <c r="C73" s="49" t="s">
        <v>85</v>
      </c>
      <c r="D73" s="61">
        <f t="shared" si="2"/>
        <v>28500</v>
      </c>
      <c r="E73" s="74">
        <f>'remanentes 2012'!E73+'Presupuestacion estatal'!E73+'Presupuestacion federal'!E73+'calculo de ingresos propios'!E73+COECYTJAL!E73</f>
        <v>5500</v>
      </c>
      <c r="F73" s="74">
        <f>'remanentes 2012'!F73+'Presupuestacion estatal'!F73+'Presupuestacion federal'!F73+'calculo de ingresos propios'!F73</f>
        <v>1000</v>
      </c>
      <c r="G73" s="74">
        <f>'remanentes 2012'!G73+'Presupuestacion estatal'!G73+'Presupuestacion federal'!G73+'calculo de ingresos propios'!G73</f>
        <v>11000</v>
      </c>
      <c r="H73" s="74">
        <f>'remanentes 2012'!H73+'Presupuestacion estatal'!H73+'Presupuestacion federal'!H73+'calculo de ingresos propios'!H73</f>
        <v>1000</v>
      </c>
      <c r="I73" s="74">
        <f>'remanentes 2012'!I73+'Presupuestacion estatal'!I73+'Presupuestacion federal'!I73+'calculo de ingresos propios'!I73</f>
        <v>1000</v>
      </c>
      <c r="J73" s="74">
        <f>'remanentes 2012'!J73+'Presupuestacion estatal'!J73+'Presupuestacion federal'!J73+'calculo de ingresos propios'!J73</f>
        <v>1000</v>
      </c>
      <c r="K73" s="74">
        <f>'remanentes 2012'!K73+'Presupuestacion estatal'!K73+'Presupuestacion federal'!K73+'calculo de ingresos propios'!K73</f>
        <v>5000</v>
      </c>
      <c r="L73" s="74">
        <f>'remanentes 2012'!L73+'Presupuestacion estatal'!L73+'Presupuestacion federal'!L73+'calculo de ingresos propios'!L73</f>
        <v>1000</v>
      </c>
      <c r="M73" s="74">
        <f>'remanentes 2012'!M73+'Presupuestacion estatal'!M73+'Presupuestacion federal'!M73+'calculo de ingresos propios'!M73</f>
        <v>1000</v>
      </c>
      <c r="N73" s="74">
        <f>'remanentes 2012'!N73+'Presupuestacion estatal'!N73+'Presupuestacion federal'!N73+'calculo de ingresos propios'!N73</f>
        <v>1000</v>
      </c>
      <c r="O73" s="74">
        <f>'remanentes 2012'!O73+'Presupuestacion estatal'!O73+'Presupuestacion federal'!O73+'calculo de ingresos propios'!O73</f>
        <v>0</v>
      </c>
      <c r="P73" s="74">
        <f>'remanentes 2012'!P73+'Presupuestacion estatal'!P73+'Presupuestacion federal'!P73+'calculo de ingresos propios'!P73</f>
        <v>0</v>
      </c>
      <c r="Q73" s="33"/>
    </row>
    <row r="74" spans="1:18" s="34" customFormat="1" x14ac:dyDescent="0.2">
      <c r="A74" s="54">
        <v>3221</v>
      </c>
      <c r="B74" s="54"/>
      <c r="C74" s="49" t="s">
        <v>86</v>
      </c>
      <c r="D74" s="61">
        <f t="shared" si="2"/>
        <v>31500</v>
      </c>
      <c r="E74" s="74">
        <f>'remanentes 2012'!E74+'Presupuestacion estatal'!E74+'Presupuestacion federal'!E74+'calculo de ingresos propios'!E74+COECYTJAL!E74</f>
        <v>15000</v>
      </c>
      <c r="F74" s="74">
        <f>'remanentes 2012'!F74+'Presupuestacion estatal'!F74+'Presupuestacion federal'!F74+'calculo de ingresos propios'!F74</f>
        <v>1500</v>
      </c>
      <c r="G74" s="74">
        <f>'remanentes 2012'!G74+'Presupuestacion estatal'!G74+'Presupuestacion federal'!G74+'calculo de ingresos propios'!G74</f>
        <v>1500</v>
      </c>
      <c r="H74" s="74">
        <f>'remanentes 2012'!H74+'Presupuestacion estatal'!H74+'Presupuestacion federal'!H74+'calculo de ingresos propios'!H74</f>
        <v>1500</v>
      </c>
      <c r="I74" s="74">
        <f>'remanentes 2012'!I74+'Presupuestacion estatal'!I74+'Presupuestacion federal'!I74+'calculo de ingresos propios'!I74</f>
        <v>1500</v>
      </c>
      <c r="J74" s="74">
        <f>'remanentes 2012'!J74+'Presupuestacion estatal'!J74+'Presupuestacion federal'!J74+'calculo de ingresos propios'!J74</f>
        <v>1500</v>
      </c>
      <c r="K74" s="74">
        <f>'remanentes 2012'!K74+'Presupuestacion estatal'!K74+'Presupuestacion federal'!K74+'calculo de ingresos propios'!K74</f>
        <v>1500</v>
      </c>
      <c r="L74" s="74">
        <f>'remanentes 2012'!L74+'Presupuestacion estatal'!L74+'Presupuestacion federal'!L74+'calculo de ingresos propios'!L74</f>
        <v>1500</v>
      </c>
      <c r="M74" s="74">
        <f>'remanentes 2012'!M74+'Presupuestacion estatal'!M74+'Presupuestacion federal'!M74+'calculo de ingresos propios'!M74</f>
        <v>1500</v>
      </c>
      <c r="N74" s="74">
        <f>'remanentes 2012'!N74+'Presupuestacion estatal'!N74+'Presupuestacion federal'!N74+'calculo de ingresos propios'!N74</f>
        <v>1500</v>
      </c>
      <c r="O74" s="74">
        <f>'remanentes 2012'!O74+'Presupuestacion estatal'!O74+'Presupuestacion federal'!O74+'calculo de ingresos propios'!O74</f>
        <v>1500</v>
      </c>
      <c r="P74" s="74">
        <f>'remanentes 2012'!P74+'Presupuestacion estatal'!P74+'Presupuestacion federal'!P74+'calculo de ingresos propios'!P74</f>
        <v>1500</v>
      </c>
      <c r="Q74" s="33"/>
    </row>
    <row r="75" spans="1:18" s="34" customFormat="1" x14ac:dyDescent="0.2">
      <c r="A75" s="56">
        <v>3231</v>
      </c>
      <c r="B75" s="56"/>
      <c r="C75" s="50" t="s">
        <v>87</v>
      </c>
      <c r="D75" s="61">
        <f t="shared" si="2"/>
        <v>5000</v>
      </c>
      <c r="E75" s="74">
        <f>'remanentes 2012'!E75+'Presupuestacion estatal'!E75+'Presupuestacion federal'!E75+'calculo de ingresos propios'!E75+COECYTJAL!E75</f>
        <v>0</v>
      </c>
      <c r="F75" s="74">
        <f>'remanentes 2012'!F75+'Presupuestacion estatal'!F75+'Presupuestacion federal'!F75+'calculo de ingresos propios'!F75</f>
        <v>0</v>
      </c>
      <c r="G75" s="74">
        <f>'remanentes 2012'!G75+'Presupuestacion estatal'!G75+'Presupuestacion federal'!G75+'calculo de ingresos propios'!G75</f>
        <v>5000</v>
      </c>
      <c r="H75" s="74">
        <f>'remanentes 2012'!H75+'Presupuestacion estatal'!H75+'Presupuestacion federal'!H75+'calculo de ingresos propios'!H75</f>
        <v>0</v>
      </c>
      <c r="I75" s="74">
        <f>'remanentes 2012'!I75+'Presupuestacion estatal'!I75+'Presupuestacion federal'!I75+'calculo de ingresos propios'!I75</f>
        <v>0</v>
      </c>
      <c r="J75" s="74">
        <f>'remanentes 2012'!J75+'Presupuestacion estatal'!J75+'Presupuestacion federal'!J75+'calculo de ingresos propios'!J75</f>
        <v>0</v>
      </c>
      <c r="K75" s="74">
        <f>'remanentes 2012'!K75+'Presupuestacion estatal'!K75+'Presupuestacion federal'!K75+'calculo de ingresos propios'!K75</f>
        <v>0</v>
      </c>
      <c r="L75" s="74">
        <f>'remanentes 2012'!L75+'Presupuestacion estatal'!L75+'Presupuestacion federal'!L75+'calculo de ingresos propios'!L75</f>
        <v>0</v>
      </c>
      <c r="M75" s="74">
        <f>'remanentes 2012'!M75+'Presupuestacion estatal'!M75+'Presupuestacion federal'!M75+'calculo de ingresos propios'!M75</f>
        <v>0</v>
      </c>
      <c r="N75" s="74">
        <f>'remanentes 2012'!N75+'Presupuestacion estatal'!N75+'Presupuestacion federal'!N75+'calculo de ingresos propios'!N75</f>
        <v>0</v>
      </c>
      <c r="O75" s="74">
        <f>'remanentes 2012'!O75+'Presupuestacion estatal'!O75+'Presupuestacion federal'!O75+'calculo de ingresos propios'!O75</f>
        <v>0</v>
      </c>
      <c r="P75" s="74">
        <f>'remanentes 2012'!P75+'Presupuestacion estatal'!P75+'Presupuestacion federal'!P75+'calculo de ingresos propios'!P75</f>
        <v>0</v>
      </c>
      <c r="Q75" s="33"/>
    </row>
    <row r="76" spans="1:18" s="34" customFormat="1" ht="24" x14ac:dyDescent="0.2">
      <c r="A76" s="54">
        <v>3261</v>
      </c>
      <c r="B76" s="54"/>
      <c r="C76" s="49" t="s">
        <v>88</v>
      </c>
      <c r="D76" s="61">
        <f t="shared" si="2"/>
        <v>9500</v>
      </c>
      <c r="E76" s="74">
        <f>'remanentes 2012'!E76+'Presupuestacion estatal'!E76+'Presupuestacion federal'!E76+'calculo de ingresos propios'!E76+COECYTJAL!E76</f>
        <v>0</v>
      </c>
      <c r="F76" s="74">
        <f>'remanentes 2012'!F76+'Presupuestacion estatal'!F76+'Presupuestacion federal'!F76+'calculo de ingresos propios'!F76</f>
        <v>0</v>
      </c>
      <c r="G76" s="74">
        <f>'remanentes 2012'!G76+'Presupuestacion estatal'!G76+'Presupuestacion federal'!G76+'calculo de ingresos propios'!G76</f>
        <v>0</v>
      </c>
      <c r="H76" s="74">
        <f>'remanentes 2012'!H76+'Presupuestacion estatal'!H76+'Presupuestacion federal'!H76+'calculo de ingresos propios'!H76</f>
        <v>0</v>
      </c>
      <c r="I76" s="74">
        <f>'remanentes 2012'!I76+'Presupuestacion estatal'!I76+'Presupuestacion federal'!I76+'calculo de ingresos propios'!I76</f>
        <v>0</v>
      </c>
      <c r="J76" s="74">
        <f>'remanentes 2012'!J76+'Presupuestacion estatal'!J76+'Presupuestacion federal'!J76+'calculo de ingresos propios'!J76</f>
        <v>2500</v>
      </c>
      <c r="K76" s="74">
        <f>'remanentes 2012'!K76+'Presupuestacion estatal'!K76+'Presupuestacion federal'!K76+'calculo de ingresos propios'!K76</f>
        <v>0</v>
      </c>
      <c r="L76" s="74">
        <f>'remanentes 2012'!L76+'Presupuestacion estatal'!L76+'Presupuestacion federal'!L76+'calculo de ingresos propios'!L76</f>
        <v>0</v>
      </c>
      <c r="M76" s="74">
        <f>'remanentes 2012'!M76+'Presupuestacion estatal'!M76+'Presupuestacion federal'!M76+'calculo de ingresos propios'!M76</f>
        <v>7000</v>
      </c>
      <c r="N76" s="74">
        <f>'remanentes 2012'!N76+'Presupuestacion estatal'!N76+'Presupuestacion federal'!N76+'calculo de ingresos propios'!N76</f>
        <v>0</v>
      </c>
      <c r="O76" s="74">
        <f>'remanentes 2012'!O76+'Presupuestacion estatal'!O76+'Presupuestacion federal'!O76+'calculo de ingresos propios'!O76</f>
        <v>0</v>
      </c>
      <c r="P76" s="74">
        <f>'remanentes 2012'!P76+'Presupuestacion estatal'!P76+'Presupuestacion federal'!P76+'calculo de ingresos propios'!P76</f>
        <v>0</v>
      </c>
      <c r="Q76" s="33"/>
    </row>
    <row r="77" spans="1:18" s="34" customFormat="1" ht="24" x14ac:dyDescent="0.2">
      <c r="A77" s="54">
        <v>3311</v>
      </c>
      <c r="B77" s="54"/>
      <c r="C77" s="49" t="s">
        <v>89</v>
      </c>
      <c r="D77" s="61">
        <f t="shared" si="2"/>
        <v>175000</v>
      </c>
      <c r="E77" s="74">
        <f>'remanentes 2012'!E77+'Presupuestacion estatal'!E77+'Presupuestacion federal'!E77+'calculo de ingresos propios'!E77+COECYTJAL!E77</f>
        <v>15000</v>
      </c>
      <c r="F77" s="74">
        <f>'remanentes 2012'!F77+'Presupuestacion estatal'!F77+'Presupuestacion federal'!F77+'calculo de ingresos propios'!F77</f>
        <v>15000</v>
      </c>
      <c r="G77" s="74">
        <f>'remanentes 2012'!G77+'Presupuestacion estatal'!G77+'Presupuestacion federal'!G77+'calculo de ingresos propios'!G77</f>
        <v>70000</v>
      </c>
      <c r="H77" s="74">
        <f>'remanentes 2012'!H77+'Presupuestacion estatal'!H77+'Presupuestacion federal'!H77+'calculo de ingresos propios'!H77</f>
        <v>15000</v>
      </c>
      <c r="I77" s="74">
        <f>'remanentes 2012'!I77+'Presupuestacion estatal'!I77+'Presupuestacion federal'!I77+'calculo de ingresos propios'!I77</f>
        <v>0</v>
      </c>
      <c r="J77" s="74">
        <f>'remanentes 2012'!J77+'Presupuestacion estatal'!J77+'Presupuestacion federal'!J77+'calculo de ingresos propios'!J77</f>
        <v>0</v>
      </c>
      <c r="K77" s="74">
        <f>'remanentes 2012'!K77+'Presupuestacion estatal'!K77+'Presupuestacion federal'!K77+'calculo de ingresos propios'!K77</f>
        <v>10000</v>
      </c>
      <c r="L77" s="74">
        <f>'remanentes 2012'!L77+'Presupuestacion estatal'!L77+'Presupuestacion federal'!L77+'calculo de ingresos propios'!L77</f>
        <v>10000</v>
      </c>
      <c r="M77" s="74">
        <f>'remanentes 2012'!M77+'Presupuestacion estatal'!M77+'Presupuestacion federal'!M77+'calculo de ingresos propios'!M77</f>
        <v>10000</v>
      </c>
      <c r="N77" s="74">
        <f>'remanentes 2012'!N77+'Presupuestacion estatal'!N77+'Presupuestacion federal'!N77+'calculo de ingresos propios'!N77</f>
        <v>10000</v>
      </c>
      <c r="O77" s="74">
        <f>'remanentes 2012'!O77+'Presupuestacion estatal'!O77+'Presupuestacion federal'!O77+'calculo de ingresos propios'!O77</f>
        <v>10000</v>
      </c>
      <c r="P77" s="74">
        <f>'remanentes 2012'!P77+'Presupuestacion estatal'!P77+'Presupuestacion federal'!P77+'calculo de ingresos propios'!P77</f>
        <v>10000</v>
      </c>
      <c r="Q77" s="33"/>
    </row>
    <row r="78" spans="1:18" s="34" customFormat="1" ht="24" x14ac:dyDescent="0.2">
      <c r="A78" s="54">
        <v>3331</v>
      </c>
      <c r="B78" s="54"/>
      <c r="C78" s="49" t="s">
        <v>90</v>
      </c>
      <c r="D78" s="61">
        <f t="shared" si="2"/>
        <v>177980.03</v>
      </c>
      <c r="E78" s="74">
        <f>'remanentes 2012'!E78+'Presupuestacion estatal'!E78+'Presupuestacion federal'!E78+'calculo de ingresos propios'!E78+COECYTJAL!E78</f>
        <v>15000</v>
      </c>
      <c r="F78" s="74">
        <f>'remanentes 2012'!F78+'Presupuestacion estatal'!F78+'Presupuestacion federal'!F78+'calculo de ingresos propios'!F78</f>
        <v>15000</v>
      </c>
      <c r="G78" s="74">
        <f>'remanentes 2012'!G78+'Presupuestacion estatal'!G78+'Presupuestacion federal'!G78+'calculo de ingresos propios'!G78</f>
        <v>15000</v>
      </c>
      <c r="H78" s="74">
        <f>'remanentes 2012'!H78+'Presupuestacion estatal'!H78+'Presupuestacion federal'!H78+'calculo de ingresos propios'!H78</f>
        <v>15000</v>
      </c>
      <c r="I78" s="74">
        <f>'remanentes 2012'!I78+'Presupuestacion estatal'!I78+'Presupuestacion federal'!I78+'calculo de ingresos propios'!I78</f>
        <v>2900.03</v>
      </c>
      <c r="J78" s="74">
        <f>'remanentes 2012'!J78+'Presupuestacion estatal'!J78+'Presupuestacion federal'!J78+'calculo de ingresos propios'!J78</f>
        <v>0</v>
      </c>
      <c r="K78" s="74">
        <f>'remanentes 2012'!K78+'Presupuestacion estatal'!K78+'Presupuestacion federal'!K78+'calculo de ingresos propios'!K78</f>
        <v>19180</v>
      </c>
      <c r="L78" s="74">
        <f>'remanentes 2012'!L78+'Presupuestacion estatal'!L78+'Presupuestacion federal'!L78+'calculo de ingresos propios'!L78</f>
        <v>19180</v>
      </c>
      <c r="M78" s="74">
        <f>'remanentes 2012'!M78+'Presupuestacion estatal'!M78+'Presupuestacion federal'!M78+'calculo de ingresos propios'!M78</f>
        <v>19180</v>
      </c>
      <c r="N78" s="74">
        <f>'remanentes 2012'!N78+'Presupuestacion estatal'!N78+'Presupuestacion federal'!N78+'calculo de ingresos propios'!N78</f>
        <v>19180</v>
      </c>
      <c r="O78" s="74">
        <f>'remanentes 2012'!O78+'Presupuestacion estatal'!O78+'Presupuestacion federal'!O78+'calculo de ingresos propios'!O78</f>
        <v>19180</v>
      </c>
      <c r="P78" s="74">
        <f>'remanentes 2012'!P78+'Presupuestacion estatal'!P78+'Presupuestacion federal'!P78+'calculo de ingresos propios'!P78</f>
        <v>19180</v>
      </c>
      <c r="Q78" s="33"/>
    </row>
    <row r="79" spans="1:18" s="34" customFormat="1" x14ac:dyDescent="0.2">
      <c r="A79" s="54">
        <v>3341</v>
      </c>
      <c r="B79" s="54"/>
      <c r="C79" s="49" t="s">
        <v>91</v>
      </c>
      <c r="D79" s="61">
        <f t="shared" si="2"/>
        <v>30000</v>
      </c>
      <c r="E79" s="74">
        <f>'remanentes 2012'!E79+'Presupuestacion estatal'!E79+'Presupuestacion federal'!E79+'calculo de ingresos propios'!E79+COECYTJAL!E79</f>
        <v>0</v>
      </c>
      <c r="F79" s="74">
        <f>'remanentes 2012'!F79+'Presupuestacion estatal'!F79+'Presupuestacion federal'!F79+'calculo de ingresos propios'!F79</f>
        <v>0</v>
      </c>
      <c r="G79" s="74">
        <f>'remanentes 2012'!G79+'Presupuestacion estatal'!G79+'Presupuestacion federal'!G79+'calculo de ingresos propios'!G79</f>
        <v>0</v>
      </c>
      <c r="H79" s="74">
        <f>'remanentes 2012'!H79+'Presupuestacion estatal'!H79+'Presupuestacion federal'!H79+'calculo de ingresos propios'!H79</f>
        <v>0</v>
      </c>
      <c r="I79" s="74">
        <f>'remanentes 2012'!I79+'Presupuestacion estatal'!I79+'Presupuestacion federal'!I79+'calculo de ingresos propios'!I79</f>
        <v>0</v>
      </c>
      <c r="J79" s="74">
        <f>'remanentes 2012'!J79+'Presupuestacion estatal'!J79+'Presupuestacion federal'!J79+'calculo de ingresos propios'!J79</f>
        <v>0</v>
      </c>
      <c r="K79" s="74">
        <f>'remanentes 2012'!K79+'Presupuestacion estatal'!K79+'Presupuestacion federal'!K79+'calculo de ingresos propios'!K79</f>
        <v>0</v>
      </c>
      <c r="L79" s="74">
        <f>'remanentes 2012'!L79+'Presupuestacion estatal'!L79+'Presupuestacion federal'!L79+'calculo de ingresos propios'!L79</f>
        <v>30000</v>
      </c>
      <c r="M79" s="74">
        <f>'remanentes 2012'!M79+'Presupuestacion estatal'!M79+'Presupuestacion federal'!M79+'calculo de ingresos propios'!M79</f>
        <v>0</v>
      </c>
      <c r="N79" s="74">
        <f>'remanentes 2012'!N79+'Presupuestacion estatal'!N79+'Presupuestacion federal'!N79+'calculo de ingresos propios'!N79</f>
        <v>0</v>
      </c>
      <c r="O79" s="74">
        <f>'remanentes 2012'!O79+'Presupuestacion estatal'!O79+'Presupuestacion federal'!O79+'calculo de ingresos propios'!O79</f>
        <v>0</v>
      </c>
      <c r="P79" s="74">
        <f>'remanentes 2012'!P79+'Presupuestacion estatal'!P79+'Presupuestacion federal'!P79+'calculo de ingresos propios'!P79</f>
        <v>0</v>
      </c>
      <c r="Q79" s="33"/>
    </row>
    <row r="80" spans="1:18" s="34" customFormat="1" x14ac:dyDescent="0.2">
      <c r="A80" s="54">
        <v>3342</v>
      </c>
      <c r="B80" s="54"/>
      <c r="C80" s="49" t="s">
        <v>92</v>
      </c>
      <c r="D80" s="61">
        <f t="shared" si="2"/>
        <v>110000</v>
      </c>
      <c r="E80" s="74">
        <f>'remanentes 2012'!E80+'Presupuestacion estatal'!E80+'Presupuestacion federal'!E80+'calculo de ingresos propios'!E80+COECYTJAL!E80</f>
        <v>35000</v>
      </c>
      <c r="F80" s="74">
        <f>'remanentes 2012'!F80+'Presupuestacion estatal'!F80+'Presupuestacion federal'!F80+'calculo de ingresos propios'!F80</f>
        <v>0</v>
      </c>
      <c r="G80" s="74">
        <f>'remanentes 2012'!G80+'Presupuestacion estatal'!G80+'Presupuestacion federal'!G80+'calculo de ingresos propios'!G80</f>
        <v>0</v>
      </c>
      <c r="H80" s="74">
        <f>'remanentes 2012'!H80+'Presupuestacion estatal'!H80+'Presupuestacion federal'!H80+'calculo de ingresos propios'!H80</f>
        <v>0</v>
      </c>
      <c r="I80" s="74">
        <f>'remanentes 2012'!I80+'Presupuestacion estatal'!I80+'Presupuestacion federal'!I80+'calculo de ingresos propios'!I80</f>
        <v>0</v>
      </c>
      <c r="J80" s="74">
        <f>'remanentes 2012'!J80+'Presupuestacion estatal'!J80+'Presupuestacion federal'!J80+'calculo de ingresos propios'!J80</f>
        <v>0</v>
      </c>
      <c r="K80" s="74">
        <f>'remanentes 2012'!K80+'Presupuestacion estatal'!K80+'Presupuestacion federal'!K80+'calculo de ingresos propios'!K80</f>
        <v>40000</v>
      </c>
      <c r="L80" s="74">
        <f>'remanentes 2012'!L80+'Presupuestacion estatal'!L80+'Presupuestacion federal'!L80+'calculo de ingresos propios'!L80</f>
        <v>35000</v>
      </c>
      <c r="M80" s="74">
        <f>'remanentes 2012'!M80+'Presupuestacion estatal'!M80+'Presupuestacion federal'!M80+'calculo de ingresos propios'!M80</f>
        <v>0</v>
      </c>
      <c r="N80" s="74">
        <f>'remanentes 2012'!N80+'Presupuestacion estatal'!N80+'Presupuestacion federal'!N80+'calculo de ingresos propios'!N80</f>
        <v>0</v>
      </c>
      <c r="O80" s="74">
        <f>'remanentes 2012'!O80+'Presupuestacion estatal'!O80+'Presupuestacion federal'!O80+'calculo de ingresos propios'!O80</f>
        <v>0</v>
      </c>
      <c r="P80" s="74">
        <f>'remanentes 2012'!P80+'Presupuestacion estatal'!P80+'Presupuestacion federal'!P80+'calculo de ingresos propios'!P80</f>
        <v>0</v>
      </c>
      <c r="Q80" s="33"/>
    </row>
    <row r="81" spans="1:17" s="34" customFormat="1" ht="24" x14ac:dyDescent="0.2">
      <c r="A81" s="54">
        <v>3361</v>
      </c>
      <c r="B81" s="54"/>
      <c r="C81" s="49" t="s">
        <v>93</v>
      </c>
      <c r="D81" s="61">
        <f t="shared" si="2"/>
        <v>20000</v>
      </c>
      <c r="E81" s="74">
        <f>'remanentes 2012'!E81+'Presupuestacion estatal'!E81+'Presupuestacion federal'!E81+'calculo de ingresos propios'!E81+COECYTJAL!E81</f>
        <v>0</v>
      </c>
      <c r="F81" s="74">
        <f>'remanentes 2012'!F81+'Presupuestacion estatal'!F81+'Presupuestacion federal'!F81+'calculo de ingresos propios'!F81</f>
        <v>0</v>
      </c>
      <c r="G81" s="74">
        <f>'remanentes 2012'!G81+'Presupuestacion estatal'!G81+'Presupuestacion federal'!G81+'calculo de ingresos propios'!G81</f>
        <v>12500</v>
      </c>
      <c r="H81" s="74">
        <f>'remanentes 2012'!H81+'Presupuestacion estatal'!H81+'Presupuestacion federal'!H81+'calculo de ingresos propios'!H81</f>
        <v>0</v>
      </c>
      <c r="I81" s="74">
        <f>'remanentes 2012'!I81+'Presupuestacion estatal'!I81+'Presupuestacion federal'!I81+'calculo de ingresos propios'!I81</f>
        <v>0</v>
      </c>
      <c r="J81" s="74">
        <f>'remanentes 2012'!J81+'Presupuestacion estatal'!J81+'Presupuestacion federal'!J81+'calculo de ingresos propios'!J81</f>
        <v>0</v>
      </c>
      <c r="K81" s="74">
        <f>'remanentes 2012'!K81+'Presupuestacion estatal'!K81+'Presupuestacion federal'!K81+'calculo de ingresos propios'!K81</f>
        <v>0</v>
      </c>
      <c r="L81" s="74">
        <f>'remanentes 2012'!L81+'Presupuestacion estatal'!L81+'Presupuestacion federal'!L81+'calculo de ingresos propios'!L81</f>
        <v>0</v>
      </c>
      <c r="M81" s="74">
        <f>'remanentes 2012'!M81+'Presupuestacion estatal'!M81+'Presupuestacion federal'!M81+'calculo de ingresos propios'!M81</f>
        <v>0</v>
      </c>
      <c r="N81" s="74">
        <f>'remanentes 2012'!N81+'Presupuestacion estatal'!N81+'Presupuestacion federal'!N81+'calculo de ingresos propios'!N81</f>
        <v>7500</v>
      </c>
      <c r="O81" s="74">
        <f>'remanentes 2012'!O81+'Presupuestacion estatal'!O81+'Presupuestacion federal'!O81+'calculo de ingresos propios'!O81</f>
        <v>0</v>
      </c>
      <c r="P81" s="74">
        <f>'remanentes 2012'!P81+'Presupuestacion estatal'!P81+'Presupuestacion federal'!P81+'calculo de ingresos propios'!P81</f>
        <v>0</v>
      </c>
      <c r="Q81" s="33"/>
    </row>
    <row r="82" spans="1:17" s="34" customFormat="1" x14ac:dyDescent="0.2">
      <c r="A82" s="54">
        <v>3362</v>
      </c>
      <c r="B82" s="54"/>
      <c r="C82" s="49" t="s">
        <v>94</v>
      </c>
      <c r="D82" s="61">
        <f t="shared" si="2"/>
        <v>40000</v>
      </c>
      <c r="E82" s="74">
        <f>'remanentes 2012'!E82+'Presupuestacion estatal'!E82+'Presupuestacion federal'!E82+'calculo de ingresos propios'!E82+COECYTJAL!E82</f>
        <v>10000</v>
      </c>
      <c r="F82" s="74">
        <f>'remanentes 2012'!F82+'Presupuestacion estatal'!F82+'Presupuestacion federal'!F82+'calculo de ingresos propios'!F82</f>
        <v>0</v>
      </c>
      <c r="G82" s="74">
        <f>'remanentes 2012'!G82+'Presupuestacion estatal'!G82+'Presupuestacion federal'!G82+'calculo de ingresos propios'!G82</f>
        <v>20000</v>
      </c>
      <c r="H82" s="74">
        <f>'remanentes 2012'!H82+'Presupuestacion estatal'!H82+'Presupuestacion federal'!H82+'calculo de ingresos propios'!H82</f>
        <v>0</v>
      </c>
      <c r="I82" s="74">
        <f>'remanentes 2012'!I82+'Presupuestacion estatal'!I82+'Presupuestacion federal'!I82+'calculo de ingresos propios'!I82</f>
        <v>0</v>
      </c>
      <c r="J82" s="74">
        <f>'remanentes 2012'!J82+'Presupuestacion estatal'!J82+'Presupuestacion federal'!J82+'calculo de ingresos propios'!J82</f>
        <v>0</v>
      </c>
      <c r="K82" s="74">
        <f>'remanentes 2012'!K82+'Presupuestacion estatal'!K82+'Presupuestacion federal'!K82+'calculo de ingresos propios'!K82</f>
        <v>0</v>
      </c>
      <c r="L82" s="74">
        <f>'remanentes 2012'!L82+'Presupuestacion estatal'!L82+'Presupuestacion federal'!L82+'calculo de ingresos propios'!L82</f>
        <v>0</v>
      </c>
      <c r="M82" s="74">
        <f>'remanentes 2012'!M82+'Presupuestacion estatal'!M82+'Presupuestacion federal'!M82+'calculo de ingresos propios'!M82</f>
        <v>10000</v>
      </c>
      <c r="N82" s="74">
        <f>'remanentes 2012'!N82+'Presupuestacion estatal'!N82+'Presupuestacion federal'!N82+'calculo de ingresos propios'!N82</f>
        <v>0</v>
      </c>
      <c r="O82" s="74">
        <f>'remanentes 2012'!O82+'Presupuestacion estatal'!O82+'Presupuestacion federal'!O82+'calculo de ingresos propios'!O82</f>
        <v>0</v>
      </c>
      <c r="P82" s="74">
        <f>'remanentes 2012'!P82+'Presupuestacion estatal'!P82+'Presupuestacion federal'!P82+'calculo de ingresos propios'!P82</f>
        <v>0</v>
      </c>
      <c r="Q82" s="33"/>
    </row>
    <row r="83" spans="1:17" s="34" customFormat="1" x14ac:dyDescent="0.2">
      <c r="A83" s="54">
        <v>3381</v>
      </c>
      <c r="B83" s="54"/>
      <c r="C83" s="49" t="s">
        <v>95</v>
      </c>
      <c r="D83" s="61">
        <f t="shared" si="2"/>
        <v>0</v>
      </c>
      <c r="E83" s="74">
        <f>'remanentes 2012'!E83+'Presupuestacion estatal'!E83+'Presupuestacion federal'!E83+'calculo de ingresos propios'!E83+COECYTJAL!E83</f>
        <v>0</v>
      </c>
      <c r="F83" s="74">
        <f>'remanentes 2012'!F83+'Presupuestacion estatal'!F83+'Presupuestacion federal'!F83+'calculo de ingresos propios'!F83</f>
        <v>0</v>
      </c>
      <c r="G83" s="74">
        <f>'remanentes 2012'!G83+'Presupuestacion estatal'!G83+'Presupuestacion federal'!G83+'calculo de ingresos propios'!G83</f>
        <v>0</v>
      </c>
      <c r="H83" s="74">
        <f>'remanentes 2012'!H83+'Presupuestacion estatal'!H83+'Presupuestacion federal'!H83+'calculo de ingresos propios'!H83</f>
        <v>0</v>
      </c>
      <c r="I83" s="74">
        <f>'remanentes 2012'!I83+'Presupuestacion estatal'!I83+'Presupuestacion federal'!I83+'calculo de ingresos propios'!I83</f>
        <v>0</v>
      </c>
      <c r="J83" s="74">
        <f>'remanentes 2012'!J83+'Presupuestacion estatal'!J83+'Presupuestacion federal'!J83+'calculo de ingresos propios'!J83</f>
        <v>0</v>
      </c>
      <c r="K83" s="74">
        <f>'remanentes 2012'!K83+'Presupuestacion estatal'!K83+'Presupuestacion federal'!K83+'calculo de ingresos propios'!K83</f>
        <v>0</v>
      </c>
      <c r="L83" s="74">
        <f>'remanentes 2012'!L83+'Presupuestacion estatal'!L83+'Presupuestacion federal'!L83+'calculo de ingresos propios'!L83</f>
        <v>0</v>
      </c>
      <c r="M83" s="74">
        <f>'remanentes 2012'!M83+'Presupuestacion estatal'!M83+'Presupuestacion federal'!M83+'calculo de ingresos propios'!M83</f>
        <v>0</v>
      </c>
      <c r="N83" s="74">
        <f>'remanentes 2012'!N83+'Presupuestacion estatal'!N83+'Presupuestacion federal'!N83+'calculo de ingresos propios'!N83</f>
        <v>0</v>
      </c>
      <c r="O83" s="74">
        <f>'remanentes 2012'!O83+'Presupuestacion estatal'!O83+'Presupuestacion federal'!O83+'calculo de ingresos propios'!O83</f>
        <v>0</v>
      </c>
      <c r="P83" s="74">
        <f>'remanentes 2012'!P83+'Presupuestacion estatal'!P83+'Presupuestacion federal'!P83+'calculo de ingresos propios'!P83</f>
        <v>0</v>
      </c>
      <c r="Q83" s="33"/>
    </row>
    <row r="84" spans="1:17" s="34" customFormat="1" ht="24" x14ac:dyDescent="0.2">
      <c r="A84" s="54">
        <v>3391</v>
      </c>
      <c r="B84" s="54"/>
      <c r="C84" s="49" t="s">
        <v>96</v>
      </c>
      <c r="D84" s="61">
        <f t="shared" si="2"/>
        <v>524000</v>
      </c>
      <c r="E84" s="74">
        <f>'remanentes 2012'!E84+'Presupuestacion estatal'!E84+'Presupuestacion federal'!E84+'calculo de ingresos propios'!E84+COECYTJAL!E84</f>
        <v>99000</v>
      </c>
      <c r="F84" s="74">
        <f>'remanentes 2012'!F84+'Presupuestacion estatal'!F84+'Presupuestacion federal'!F84+'calculo de ingresos propios'!F84</f>
        <v>25000</v>
      </c>
      <c r="G84" s="74">
        <f>'remanentes 2012'!G84+'Presupuestacion estatal'!G84+'Presupuestacion federal'!G84+'calculo de ingresos propios'!G84</f>
        <v>35000</v>
      </c>
      <c r="H84" s="74">
        <f>'remanentes 2012'!H84+'Presupuestacion estatal'!H84+'Presupuestacion federal'!H84+'calculo de ingresos propios'!H84</f>
        <v>35000</v>
      </c>
      <c r="I84" s="74">
        <f>'remanentes 2012'!I84+'Presupuestacion estatal'!I84+'Presupuestacion federal'!I84+'calculo de ingresos propios'!I84</f>
        <v>165000</v>
      </c>
      <c r="J84" s="74">
        <f>'remanentes 2012'!J84+'Presupuestacion estatal'!J84+'Presupuestacion federal'!J84+'calculo de ingresos propios'!J84</f>
        <v>5000</v>
      </c>
      <c r="K84" s="74">
        <f>'remanentes 2012'!K84+'Presupuestacion estatal'!K84+'Presupuestacion federal'!K84+'calculo de ingresos propios'!K84</f>
        <v>5000</v>
      </c>
      <c r="L84" s="74">
        <f>'remanentes 2012'!L84+'Presupuestacion estatal'!L84+'Presupuestacion federal'!L84+'calculo de ingresos propios'!L84</f>
        <v>5000</v>
      </c>
      <c r="M84" s="74">
        <f>'remanentes 2012'!M84+'Presupuestacion estatal'!M84+'Presupuestacion federal'!M84+'calculo de ingresos propios'!M84</f>
        <v>35000</v>
      </c>
      <c r="N84" s="74">
        <f>'remanentes 2012'!N84+'Presupuestacion estatal'!N84+'Presupuestacion federal'!N84+'calculo de ingresos propios'!N84</f>
        <v>35000</v>
      </c>
      <c r="O84" s="74">
        <f>'remanentes 2012'!O84+'Presupuestacion estatal'!O84+'Presupuestacion federal'!O84+'calculo de ingresos propios'!O84</f>
        <v>80000</v>
      </c>
      <c r="P84" s="74">
        <f>'remanentes 2012'!P84+'Presupuestacion estatal'!P84+'Presupuestacion federal'!P84+'calculo de ingresos propios'!P84</f>
        <v>0</v>
      </c>
      <c r="Q84" s="33"/>
    </row>
    <row r="85" spans="1:17" s="34" customFormat="1" x14ac:dyDescent="0.2">
      <c r="A85" s="54">
        <v>3411</v>
      </c>
      <c r="B85" s="54"/>
      <c r="C85" s="49" t="s">
        <v>97</v>
      </c>
      <c r="D85" s="61">
        <f t="shared" si="2"/>
        <v>14600</v>
      </c>
      <c r="E85" s="74">
        <f>'remanentes 2012'!E85+'Presupuestacion estatal'!E85+'Presupuestacion federal'!E85+'calculo de ingresos propios'!E85+COECYTJAL!E85</f>
        <v>800</v>
      </c>
      <c r="F85" s="74">
        <f>'remanentes 2012'!F85+'Presupuestacion estatal'!F85+'Presupuestacion federal'!F85+'calculo de ingresos propios'!F85</f>
        <v>800</v>
      </c>
      <c r="G85" s="74">
        <f>'remanentes 2012'!G85+'Presupuestacion estatal'!G85+'Presupuestacion federal'!G85+'calculo de ingresos propios'!G85</f>
        <v>5800</v>
      </c>
      <c r="H85" s="74">
        <f>'remanentes 2012'!H85+'Presupuestacion estatal'!H85+'Presupuestacion federal'!H85+'calculo de ingresos propios'!H85</f>
        <v>800</v>
      </c>
      <c r="I85" s="74">
        <f>'remanentes 2012'!I85+'Presupuestacion estatal'!I85+'Presupuestacion federal'!I85+'calculo de ingresos propios'!I85</f>
        <v>800</v>
      </c>
      <c r="J85" s="74">
        <f>'remanentes 2012'!J85+'Presupuestacion estatal'!J85+'Presupuestacion federal'!J85+'calculo de ingresos propios'!J85</f>
        <v>800</v>
      </c>
      <c r="K85" s="74">
        <f>'remanentes 2012'!K85+'Presupuestacion estatal'!K85+'Presupuestacion federal'!K85+'calculo de ingresos propios'!K85</f>
        <v>800</v>
      </c>
      <c r="L85" s="74">
        <f>'remanentes 2012'!L85+'Presupuestacion estatal'!L85+'Presupuestacion federal'!L85+'calculo de ingresos propios'!L85</f>
        <v>800</v>
      </c>
      <c r="M85" s="74">
        <f>'remanentes 2012'!M85+'Presupuestacion estatal'!M85+'Presupuestacion federal'!M85+'calculo de ingresos propios'!M85</f>
        <v>800</v>
      </c>
      <c r="N85" s="74">
        <f>'remanentes 2012'!N85+'Presupuestacion estatal'!N85+'Presupuestacion federal'!N85+'calculo de ingresos propios'!N85</f>
        <v>800</v>
      </c>
      <c r="O85" s="74">
        <f>'remanentes 2012'!O85+'Presupuestacion estatal'!O85+'Presupuestacion federal'!O85+'calculo de ingresos propios'!O85</f>
        <v>800</v>
      </c>
      <c r="P85" s="74">
        <f>'remanentes 2012'!P85+'Presupuestacion estatal'!P85+'Presupuestacion federal'!P85+'calculo de ingresos propios'!P85</f>
        <v>800</v>
      </c>
      <c r="Q85" s="33"/>
    </row>
    <row r="86" spans="1:17" s="34" customFormat="1" x14ac:dyDescent="0.2">
      <c r="A86" s="54">
        <v>3451</v>
      </c>
      <c r="B86" s="54"/>
      <c r="C86" s="49" t="s">
        <v>98</v>
      </c>
      <c r="D86" s="61">
        <f t="shared" si="2"/>
        <v>351098.1</v>
      </c>
      <c r="E86" s="74">
        <f>'remanentes 2012'!E86+'Presupuestacion estatal'!E86+'Presupuestacion federal'!E86+'calculo de ingresos propios'!E86+COECYTJAL!E86</f>
        <v>278397.46000000002</v>
      </c>
      <c r="F86" s="74">
        <f>'remanentes 2012'!F86+'Presupuestacion estatal'!F86+'Presupuestacion federal'!F86+'calculo de ingresos propios'!F86</f>
        <v>0</v>
      </c>
      <c r="G86" s="74">
        <f>'remanentes 2012'!G86+'Presupuestacion estatal'!G86+'Presupuestacion federal'!G86+'calculo de ingresos propios'!G86</f>
        <v>1098.0999999999999</v>
      </c>
      <c r="H86" s="74">
        <f>'remanentes 2012'!H86+'Presupuestacion estatal'!H86+'Presupuestacion federal'!H86+'calculo de ingresos propios'!H86</f>
        <v>0</v>
      </c>
      <c r="I86" s="74">
        <f>'remanentes 2012'!I86+'Presupuestacion estatal'!I86+'Presupuestacion federal'!I86+'calculo de ingresos propios'!I86</f>
        <v>0</v>
      </c>
      <c r="J86" s="74">
        <f>'remanentes 2012'!J86+'Presupuestacion estatal'!J86+'Presupuestacion federal'!J86+'calculo de ingresos propios'!J86</f>
        <v>0</v>
      </c>
      <c r="K86" s="74">
        <f>'remanentes 2012'!K86+'Presupuestacion estatal'!K86+'Presupuestacion federal'!K86+'calculo de ingresos propios'!K86</f>
        <v>0</v>
      </c>
      <c r="L86" s="74">
        <f>'remanentes 2012'!L86+'Presupuestacion estatal'!L86+'Presupuestacion federal'!L86+'calculo de ingresos propios'!L86</f>
        <v>0</v>
      </c>
      <c r="M86" s="74">
        <f>'remanentes 2012'!M86+'Presupuestacion estatal'!M86+'Presupuestacion federal'!M86+'calculo de ingresos propios'!M86</f>
        <v>0</v>
      </c>
      <c r="N86" s="74">
        <f>'remanentes 2012'!N86+'Presupuestacion estatal'!N86+'Presupuestacion federal'!N86+'calculo de ingresos propios'!N86</f>
        <v>71602.539999999994</v>
      </c>
      <c r="O86" s="74">
        <f>'remanentes 2012'!O86+'Presupuestacion estatal'!O86+'Presupuestacion federal'!O86+'calculo de ingresos propios'!O86</f>
        <v>0</v>
      </c>
      <c r="P86" s="74">
        <f>'remanentes 2012'!P86+'Presupuestacion estatal'!P86+'Presupuestacion federal'!P86+'calculo de ingresos propios'!P86</f>
        <v>0</v>
      </c>
      <c r="Q86" s="33"/>
    </row>
    <row r="87" spans="1:17" s="21" customFormat="1" x14ac:dyDescent="0.2">
      <c r="A87" s="54">
        <v>3471</v>
      </c>
      <c r="B87" s="54"/>
      <c r="C87" s="49" t="s">
        <v>99</v>
      </c>
      <c r="D87" s="61">
        <f t="shared" si="2"/>
        <v>3000</v>
      </c>
      <c r="E87" s="74">
        <f>'remanentes 2012'!E87+'Presupuestacion estatal'!E87+'Presupuestacion federal'!E87+'calculo de ingresos propios'!E87+COECYTJAL!E87</f>
        <v>1000</v>
      </c>
      <c r="F87" s="74">
        <f>'remanentes 2012'!F87+'Presupuestacion estatal'!F87+'Presupuestacion federal'!F87+'calculo de ingresos propios'!F87</f>
        <v>0</v>
      </c>
      <c r="G87" s="74">
        <f>'remanentes 2012'!G87+'Presupuestacion estatal'!G87+'Presupuestacion federal'!G87+'calculo de ingresos propios'!G87</f>
        <v>0</v>
      </c>
      <c r="H87" s="74">
        <f>'remanentes 2012'!H87+'Presupuestacion estatal'!H87+'Presupuestacion federal'!H87+'calculo de ingresos propios'!H87</f>
        <v>0</v>
      </c>
      <c r="I87" s="74">
        <f>'remanentes 2012'!I87+'Presupuestacion estatal'!I87+'Presupuestacion federal'!I87+'calculo de ingresos propios'!I87</f>
        <v>1000</v>
      </c>
      <c r="J87" s="74">
        <f>'remanentes 2012'!J87+'Presupuestacion estatal'!J87+'Presupuestacion federal'!J87+'calculo de ingresos propios'!J87</f>
        <v>0</v>
      </c>
      <c r="K87" s="74">
        <f>'remanentes 2012'!K87+'Presupuestacion estatal'!K87+'Presupuestacion federal'!K87+'calculo de ingresos propios'!K87</f>
        <v>0</v>
      </c>
      <c r="L87" s="74">
        <f>'remanentes 2012'!L87+'Presupuestacion estatal'!L87+'Presupuestacion federal'!L87+'calculo de ingresos propios'!L87</f>
        <v>0</v>
      </c>
      <c r="M87" s="74">
        <f>'remanentes 2012'!M87+'Presupuestacion estatal'!M87+'Presupuestacion federal'!M87+'calculo de ingresos propios'!M87</f>
        <v>0</v>
      </c>
      <c r="N87" s="74">
        <f>'remanentes 2012'!N87+'Presupuestacion estatal'!N87+'Presupuestacion federal'!N87+'calculo de ingresos propios'!N87</f>
        <v>1000</v>
      </c>
      <c r="O87" s="74">
        <f>'remanentes 2012'!O87+'Presupuestacion estatal'!O87+'Presupuestacion federal'!O87+'calculo de ingresos propios'!O87</f>
        <v>0</v>
      </c>
      <c r="P87" s="74">
        <f>'remanentes 2012'!P87+'Presupuestacion estatal'!P87+'Presupuestacion federal'!P87+'calculo de ingresos propios'!P87</f>
        <v>0</v>
      </c>
      <c r="Q87" s="30"/>
    </row>
    <row r="88" spans="1:17" s="21" customFormat="1" ht="24" x14ac:dyDescent="0.2">
      <c r="A88" s="54">
        <v>3511</v>
      </c>
      <c r="B88" s="54"/>
      <c r="C88" s="49" t="s">
        <v>100</v>
      </c>
      <c r="D88" s="61">
        <f t="shared" si="2"/>
        <v>120000</v>
      </c>
      <c r="E88" s="74">
        <f>'remanentes 2012'!E88+'Presupuestacion estatal'!E88+'Presupuestacion federal'!E88+'calculo de ingresos propios'!E88+COECYTJAL!E88</f>
        <v>25000</v>
      </c>
      <c r="F88" s="74">
        <f>'remanentes 2012'!F88+'Presupuestacion estatal'!F88+'Presupuestacion federal'!F88+'calculo de ingresos propios'!F88</f>
        <v>0</v>
      </c>
      <c r="G88" s="74">
        <f>'remanentes 2012'!G88+'Presupuestacion estatal'!G88+'Presupuestacion federal'!G88+'calculo de ingresos propios'!G88</f>
        <v>10000</v>
      </c>
      <c r="H88" s="74">
        <f>'remanentes 2012'!H88+'Presupuestacion estatal'!H88+'Presupuestacion federal'!H88+'calculo de ingresos propios'!H88</f>
        <v>0</v>
      </c>
      <c r="I88" s="74">
        <f>'remanentes 2012'!I88+'Presupuestacion estatal'!I88+'Presupuestacion federal'!I88+'calculo de ingresos propios'!I88</f>
        <v>25000</v>
      </c>
      <c r="J88" s="74">
        <f>'remanentes 2012'!J88+'Presupuestacion estatal'!J88+'Presupuestacion federal'!J88+'calculo de ingresos propios'!J88</f>
        <v>0</v>
      </c>
      <c r="K88" s="74">
        <f>'remanentes 2012'!K88+'Presupuestacion estatal'!K88+'Presupuestacion federal'!K88+'calculo de ingresos propios'!K88</f>
        <v>0</v>
      </c>
      <c r="L88" s="74">
        <f>'remanentes 2012'!L88+'Presupuestacion estatal'!L88+'Presupuestacion federal'!L88+'calculo de ingresos propios'!L88</f>
        <v>0</v>
      </c>
      <c r="M88" s="74">
        <f>'remanentes 2012'!M88+'Presupuestacion estatal'!M88+'Presupuestacion federal'!M88+'calculo de ingresos propios'!M88</f>
        <v>25000</v>
      </c>
      <c r="N88" s="74">
        <f>'remanentes 2012'!N88+'Presupuestacion estatal'!N88+'Presupuestacion federal'!N88+'calculo de ingresos propios'!N88</f>
        <v>10000</v>
      </c>
      <c r="O88" s="74">
        <f>'remanentes 2012'!O88+'Presupuestacion estatal'!O88+'Presupuestacion federal'!O88+'calculo de ingresos propios'!O88</f>
        <v>25000</v>
      </c>
      <c r="P88" s="74">
        <f>'remanentes 2012'!P88+'Presupuestacion estatal'!P88+'Presupuestacion federal'!P88+'calculo de ingresos propios'!P88</f>
        <v>0</v>
      </c>
      <c r="Q88" s="30"/>
    </row>
    <row r="89" spans="1:17" s="34" customFormat="1" ht="36" x14ac:dyDescent="0.2">
      <c r="A89" s="54">
        <v>3531</v>
      </c>
      <c r="B89" s="54"/>
      <c r="C89" s="49" t="s">
        <v>101</v>
      </c>
      <c r="D89" s="61">
        <f t="shared" si="2"/>
        <v>40000</v>
      </c>
      <c r="E89" s="74">
        <f>'remanentes 2012'!E89+'Presupuestacion estatal'!E89+'Presupuestacion federal'!E89+'calculo de ingresos propios'!E89+COECYTJAL!E89</f>
        <v>0</v>
      </c>
      <c r="F89" s="74">
        <f>'remanentes 2012'!F89+'Presupuestacion estatal'!F89+'Presupuestacion federal'!F89+'calculo de ingresos propios'!F89</f>
        <v>10000</v>
      </c>
      <c r="G89" s="74">
        <f>'remanentes 2012'!G89+'Presupuestacion estatal'!G89+'Presupuestacion federal'!G89+'calculo de ingresos propios'!G89</f>
        <v>0</v>
      </c>
      <c r="H89" s="74">
        <f>'remanentes 2012'!H89+'Presupuestacion estatal'!H89+'Presupuestacion federal'!H89+'calculo de ingresos propios'!H89</f>
        <v>0</v>
      </c>
      <c r="I89" s="74">
        <f>'remanentes 2012'!I89+'Presupuestacion estatal'!I89+'Presupuestacion federal'!I89+'calculo de ingresos propios'!I89</f>
        <v>0</v>
      </c>
      <c r="J89" s="74">
        <f>'remanentes 2012'!J89+'Presupuestacion estatal'!J89+'Presupuestacion federal'!J89+'calculo de ingresos propios'!J89</f>
        <v>10000</v>
      </c>
      <c r="K89" s="74">
        <f>'remanentes 2012'!K89+'Presupuestacion estatal'!K89+'Presupuestacion federal'!K89+'calculo de ingresos propios'!K89</f>
        <v>0</v>
      </c>
      <c r="L89" s="74">
        <f>'remanentes 2012'!L89+'Presupuestacion estatal'!L89+'Presupuestacion federal'!L89+'calculo de ingresos propios'!L89</f>
        <v>0</v>
      </c>
      <c r="M89" s="74">
        <f>'remanentes 2012'!M89+'Presupuestacion estatal'!M89+'Presupuestacion federal'!M89+'calculo de ingresos propios'!M89</f>
        <v>10000</v>
      </c>
      <c r="N89" s="74">
        <f>'remanentes 2012'!N89+'Presupuestacion estatal'!N89+'Presupuestacion federal'!N89+'calculo de ingresos propios'!N89</f>
        <v>0</v>
      </c>
      <c r="O89" s="74">
        <f>'remanentes 2012'!O89+'Presupuestacion estatal'!O89+'Presupuestacion federal'!O89+'calculo de ingresos propios'!O89</f>
        <v>0</v>
      </c>
      <c r="P89" s="74">
        <f>'remanentes 2012'!P89+'Presupuestacion estatal'!P89+'Presupuestacion federal'!P89+'calculo de ingresos propios'!P89</f>
        <v>10000</v>
      </c>
      <c r="Q89" s="33"/>
    </row>
    <row r="90" spans="1:17" s="34" customFormat="1" ht="36" x14ac:dyDescent="0.2">
      <c r="A90" s="54">
        <v>3541</v>
      </c>
      <c r="B90" s="54"/>
      <c r="C90" s="49" t="s">
        <v>102</v>
      </c>
      <c r="D90" s="61">
        <f t="shared" si="2"/>
        <v>126000</v>
      </c>
      <c r="E90" s="74">
        <f>'remanentes 2012'!E90+'Presupuestacion estatal'!E90+'Presupuestacion federal'!E90+'calculo de ingresos propios'!E90+COECYTJAL!E90</f>
        <v>1000</v>
      </c>
      <c r="F90" s="74">
        <f>'remanentes 2012'!F90+'Presupuestacion estatal'!F90+'Presupuestacion federal'!F90+'calculo de ingresos propios'!F90</f>
        <v>0</v>
      </c>
      <c r="G90" s="74">
        <f>'remanentes 2012'!G90+'Presupuestacion estatal'!G90+'Presupuestacion federal'!G90+'calculo de ingresos propios'!G90</f>
        <v>1000</v>
      </c>
      <c r="H90" s="74">
        <f>'remanentes 2012'!H90+'Presupuestacion estatal'!H90+'Presupuestacion federal'!H90+'calculo de ingresos propios'!H90</f>
        <v>0</v>
      </c>
      <c r="I90" s="74">
        <f>'remanentes 2012'!I90+'Presupuestacion estatal'!I90+'Presupuestacion federal'!I90+'calculo de ingresos propios'!I90</f>
        <v>1000</v>
      </c>
      <c r="J90" s="74">
        <f>'remanentes 2012'!J90+'Presupuestacion estatal'!J90+'Presupuestacion federal'!J90+'calculo de ingresos propios'!J90</f>
        <v>0</v>
      </c>
      <c r="K90" s="74">
        <f>'remanentes 2012'!K90+'Presupuestacion estatal'!K90+'Presupuestacion federal'!K90+'calculo de ingresos propios'!K90</f>
        <v>61000</v>
      </c>
      <c r="L90" s="74">
        <f>'remanentes 2012'!L90+'Presupuestacion estatal'!L90+'Presupuestacion federal'!L90+'calculo de ingresos propios'!L90</f>
        <v>60000</v>
      </c>
      <c r="M90" s="74">
        <f>'remanentes 2012'!M90+'Presupuestacion estatal'!M90+'Presupuestacion federal'!M90+'calculo de ingresos propios'!M90</f>
        <v>1000</v>
      </c>
      <c r="N90" s="74">
        <f>'remanentes 2012'!N90+'Presupuestacion estatal'!N90+'Presupuestacion federal'!N90+'calculo de ingresos propios'!N90</f>
        <v>0</v>
      </c>
      <c r="O90" s="74">
        <f>'remanentes 2012'!O90+'Presupuestacion estatal'!O90+'Presupuestacion federal'!O90+'calculo de ingresos propios'!O90</f>
        <v>1000</v>
      </c>
      <c r="P90" s="74">
        <f>'remanentes 2012'!P90+'Presupuestacion estatal'!P90+'Presupuestacion federal'!P90+'calculo de ingresos propios'!P90</f>
        <v>0</v>
      </c>
      <c r="Q90" s="33"/>
    </row>
    <row r="91" spans="1:17" s="34" customFormat="1" ht="24" x14ac:dyDescent="0.2">
      <c r="A91" s="54">
        <v>3551</v>
      </c>
      <c r="B91" s="54"/>
      <c r="C91" s="49" t="s">
        <v>103</v>
      </c>
      <c r="D91" s="61">
        <f t="shared" si="2"/>
        <v>91000</v>
      </c>
      <c r="E91" s="74">
        <f>'remanentes 2012'!E91+'Presupuestacion estatal'!E91+'Presupuestacion federal'!E91+'calculo de ingresos propios'!E91+COECYTJAL!E91</f>
        <v>10000</v>
      </c>
      <c r="F91" s="74">
        <f>'remanentes 2012'!F91+'Presupuestacion estatal'!F91+'Presupuestacion federal'!F91+'calculo de ingresos propios'!F91</f>
        <v>0</v>
      </c>
      <c r="G91" s="74">
        <f>'remanentes 2012'!G91+'Presupuestacion estatal'!G91+'Presupuestacion federal'!G91+'calculo de ingresos propios'!G91</f>
        <v>0</v>
      </c>
      <c r="H91" s="74">
        <f>'remanentes 2012'!H91+'Presupuestacion estatal'!H91+'Presupuestacion federal'!H91+'calculo de ingresos propios'!H91</f>
        <v>15000</v>
      </c>
      <c r="I91" s="74">
        <f>'remanentes 2012'!I91+'Presupuestacion estatal'!I91+'Presupuestacion federal'!I91+'calculo de ingresos propios'!I91</f>
        <v>0</v>
      </c>
      <c r="J91" s="74">
        <f>'remanentes 2012'!J91+'Presupuestacion estatal'!J91+'Presupuestacion federal'!J91+'calculo de ingresos propios'!J91</f>
        <v>15000</v>
      </c>
      <c r="K91" s="74">
        <f>'remanentes 2012'!K91+'Presupuestacion estatal'!K91+'Presupuestacion federal'!K91+'calculo de ingresos propios'!K91</f>
        <v>0</v>
      </c>
      <c r="L91" s="74">
        <f>'remanentes 2012'!L91+'Presupuestacion estatal'!L91+'Presupuestacion federal'!L91+'calculo de ingresos propios'!L91</f>
        <v>1000</v>
      </c>
      <c r="M91" s="74">
        <f>'remanentes 2012'!M91+'Presupuestacion estatal'!M91+'Presupuestacion federal'!M91+'calculo de ingresos propios'!M91</f>
        <v>0</v>
      </c>
      <c r="N91" s="74">
        <f>'remanentes 2012'!N91+'Presupuestacion estatal'!N91+'Presupuestacion federal'!N91+'calculo de ingresos propios'!N91</f>
        <v>15000</v>
      </c>
      <c r="O91" s="74">
        <f>'remanentes 2012'!O91+'Presupuestacion estatal'!O91+'Presupuestacion federal'!O91+'calculo de ingresos propios'!O91</f>
        <v>20000</v>
      </c>
      <c r="P91" s="74">
        <f>'remanentes 2012'!P91+'Presupuestacion estatal'!P91+'Presupuestacion federal'!P91+'calculo de ingresos propios'!P91</f>
        <v>15000</v>
      </c>
      <c r="Q91" s="33"/>
    </row>
    <row r="92" spans="1:17" s="34" customFormat="1" ht="24" x14ac:dyDescent="0.2">
      <c r="A92" s="54">
        <v>3571</v>
      </c>
      <c r="B92" s="54"/>
      <c r="C92" s="49" t="s">
        <v>104</v>
      </c>
      <c r="D92" s="61">
        <f t="shared" si="2"/>
        <v>21000</v>
      </c>
      <c r="E92" s="74">
        <f>'remanentes 2012'!E92+'Presupuestacion estatal'!E92+'Presupuestacion federal'!E92+'calculo de ingresos propios'!E92+COECYTJAL!E92</f>
        <v>0</v>
      </c>
      <c r="F92" s="74">
        <f>'remanentes 2012'!F92+'Presupuestacion estatal'!F92+'Presupuestacion federal'!F92+'calculo de ingresos propios'!F92</f>
        <v>3000</v>
      </c>
      <c r="G92" s="74">
        <f>'remanentes 2012'!G92+'Presupuestacion estatal'!G92+'Presupuestacion federal'!G92+'calculo de ingresos propios'!G92</f>
        <v>0</v>
      </c>
      <c r="H92" s="74">
        <f>'remanentes 2012'!H92+'Presupuestacion estatal'!H92+'Presupuestacion federal'!H92+'calculo de ingresos propios'!H92</f>
        <v>0</v>
      </c>
      <c r="I92" s="74">
        <f>'remanentes 2012'!I92+'Presupuestacion estatal'!I92+'Presupuestacion federal'!I92+'calculo de ingresos propios'!I92</f>
        <v>15000</v>
      </c>
      <c r="J92" s="74">
        <f>'remanentes 2012'!J92+'Presupuestacion estatal'!J92+'Presupuestacion federal'!J92+'calculo de ingresos propios'!J92</f>
        <v>0</v>
      </c>
      <c r="K92" s="74">
        <f>'remanentes 2012'!K92+'Presupuestacion estatal'!K92+'Presupuestacion federal'!K92+'calculo de ingresos propios'!K92</f>
        <v>3000</v>
      </c>
      <c r="L92" s="74">
        <f>'remanentes 2012'!L92+'Presupuestacion estatal'!L92+'Presupuestacion federal'!L92+'calculo de ingresos propios'!L92</f>
        <v>0</v>
      </c>
      <c r="M92" s="74">
        <f>'remanentes 2012'!M92+'Presupuestacion estatal'!M92+'Presupuestacion federal'!M92+'calculo de ingresos propios'!M92</f>
        <v>0</v>
      </c>
      <c r="N92" s="74">
        <f>'remanentes 2012'!N92+'Presupuestacion estatal'!N92+'Presupuestacion federal'!N92+'calculo de ingresos propios'!N92</f>
        <v>0</v>
      </c>
      <c r="O92" s="74">
        <f>'remanentes 2012'!O92+'Presupuestacion estatal'!O92+'Presupuestacion federal'!O92+'calculo de ingresos propios'!O92</f>
        <v>0</v>
      </c>
      <c r="P92" s="74">
        <f>'remanentes 2012'!P92+'Presupuestacion estatal'!P92+'Presupuestacion federal'!P92+'calculo de ingresos propios'!P92</f>
        <v>0</v>
      </c>
      <c r="Q92" s="33"/>
    </row>
    <row r="93" spans="1:17" s="34" customFormat="1" ht="24" x14ac:dyDescent="0.2">
      <c r="A93" s="54">
        <v>3572</v>
      </c>
      <c r="B93" s="54"/>
      <c r="C93" s="49" t="s">
        <v>105</v>
      </c>
      <c r="D93" s="61">
        <f t="shared" ref="D93:D104" si="4">SUM(E93:P93)</f>
        <v>71000</v>
      </c>
      <c r="E93" s="74">
        <f>'remanentes 2012'!E93+'Presupuestacion estatal'!E93+'Presupuestacion federal'!E93+'calculo de ingresos propios'!E93+COECYTJAL!E93</f>
        <v>0</v>
      </c>
      <c r="F93" s="74">
        <f>'remanentes 2012'!F93+'Presupuestacion estatal'!F93+'Presupuestacion federal'!F93+'calculo de ingresos propios'!F93</f>
        <v>0</v>
      </c>
      <c r="G93" s="74">
        <f>'remanentes 2012'!G93+'Presupuestacion estatal'!G93+'Presupuestacion federal'!G93+'calculo de ingresos propios'!G93</f>
        <v>7500</v>
      </c>
      <c r="H93" s="74">
        <f>'remanentes 2012'!H93+'Presupuestacion estatal'!H93+'Presupuestacion federal'!H93+'calculo de ingresos propios'!H93</f>
        <v>20000</v>
      </c>
      <c r="I93" s="74">
        <f>'remanentes 2012'!I93+'Presupuestacion estatal'!I93+'Presupuestacion federal'!I93+'calculo de ingresos propios'!I93</f>
        <v>3000</v>
      </c>
      <c r="J93" s="74">
        <f>'remanentes 2012'!J93+'Presupuestacion estatal'!J93+'Presupuestacion federal'!J93+'calculo de ingresos propios'!J93</f>
        <v>0</v>
      </c>
      <c r="K93" s="74">
        <f>'remanentes 2012'!K93+'Presupuestacion estatal'!K93+'Presupuestacion federal'!K93+'calculo de ingresos propios'!K93</f>
        <v>0</v>
      </c>
      <c r="L93" s="74">
        <f>'remanentes 2012'!L93+'Presupuestacion estatal'!L93+'Presupuestacion federal'!L93+'calculo de ingresos propios'!L93</f>
        <v>7500</v>
      </c>
      <c r="M93" s="74">
        <f>'remanentes 2012'!M93+'Presupuestacion estatal'!M93+'Presupuestacion federal'!M93+'calculo de ingresos propios'!M93</f>
        <v>30000</v>
      </c>
      <c r="N93" s="74">
        <f>'remanentes 2012'!N93+'Presupuestacion estatal'!N93+'Presupuestacion federal'!N93+'calculo de ingresos propios'!N93</f>
        <v>0</v>
      </c>
      <c r="O93" s="74">
        <f>'remanentes 2012'!O93+'Presupuestacion estatal'!O93+'Presupuestacion federal'!O93+'calculo de ingresos propios'!O93</f>
        <v>3000</v>
      </c>
      <c r="P93" s="74">
        <f>'remanentes 2012'!P93+'Presupuestacion estatal'!P93+'Presupuestacion federal'!P93+'calculo de ingresos propios'!P93</f>
        <v>0</v>
      </c>
      <c r="Q93" s="33"/>
    </row>
    <row r="94" spans="1:17" s="34" customFormat="1" x14ac:dyDescent="0.2">
      <c r="A94" s="54">
        <v>3581</v>
      </c>
      <c r="B94" s="54"/>
      <c r="C94" s="49" t="s">
        <v>106</v>
      </c>
      <c r="D94" s="61">
        <f t="shared" si="4"/>
        <v>40000</v>
      </c>
      <c r="E94" s="74">
        <f>'remanentes 2012'!E94+'Presupuestacion estatal'!E94+'Presupuestacion federal'!E94+'calculo de ingresos propios'!E94+COECYTJAL!E94</f>
        <v>0</v>
      </c>
      <c r="F94" s="74">
        <f>'remanentes 2012'!F94+'Presupuestacion estatal'!F94+'Presupuestacion federal'!F94+'calculo de ingresos propios'!F94</f>
        <v>0</v>
      </c>
      <c r="G94" s="74">
        <f>'remanentes 2012'!G94+'Presupuestacion estatal'!G94+'Presupuestacion federal'!G94+'calculo de ingresos propios'!G94</f>
        <v>0</v>
      </c>
      <c r="H94" s="74">
        <f>'remanentes 2012'!H94+'Presupuestacion estatal'!H94+'Presupuestacion federal'!H94+'calculo de ingresos propios'!H94</f>
        <v>0</v>
      </c>
      <c r="I94" s="74">
        <f>'remanentes 2012'!I94+'Presupuestacion estatal'!I94+'Presupuestacion federal'!I94+'calculo de ingresos propios'!I94</f>
        <v>25000</v>
      </c>
      <c r="J94" s="74">
        <f>'remanentes 2012'!J94+'Presupuestacion estatal'!J94+'Presupuestacion federal'!J94+'calculo de ingresos propios'!J94</f>
        <v>0</v>
      </c>
      <c r="K94" s="74">
        <f>'remanentes 2012'!K94+'Presupuestacion estatal'!K94+'Presupuestacion federal'!K94+'calculo de ingresos propios'!K94</f>
        <v>0</v>
      </c>
      <c r="L94" s="74">
        <f>'remanentes 2012'!L94+'Presupuestacion estatal'!L94+'Presupuestacion federal'!L94+'calculo de ingresos propios'!L94</f>
        <v>0</v>
      </c>
      <c r="M94" s="74">
        <f>'remanentes 2012'!M94+'Presupuestacion estatal'!M94+'Presupuestacion federal'!M94+'calculo de ingresos propios'!M94</f>
        <v>0</v>
      </c>
      <c r="N94" s="74">
        <f>'remanentes 2012'!N94+'Presupuestacion estatal'!N94+'Presupuestacion federal'!N94+'calculo de ingresos propios'!N94</f>
        <v>0</v>
      </c>
      <c r="O94" s="74">
        <f>'remanentes 2012'!O94+'Presupuestacion estatal'!O94+'Presupuestacion federal'!O94+'calculo de ingresos propios'!O94</f>
        <v>15000</v>
      </c>
      <c r="P94" s="74">
        <f>'remanentes 2012'!P94+'Presupuestacion estatal'!P94+'Presupuestacion federal'!P94+'calculo de ingresos propios'!P94</f>
        <v>0</v>
      </c>
      <c r="Q94" s="33"/>
    </row>
    <row r="95" spans="1:17" s="34" customFormat="1" x14ac:dyDescent="0.2">
      <c r="A95" s="54">
        <v>3591</v>
      </c>
      <c r="B95" s="54"/>
      <c r="C95" s="49" t="s">
        <v>107</v>
      </c>
      <c r="D95" s="61">
        <f t="shared" si="4"/>
        <v>6000</v>
      </c>
      <c r="E95" s="74">
        <f>'remanentes 2012'!E95+'Presupuestacion estatal'!E95+'Presupuestacion federal'!E95+'calculo de ingresos propios'!E95+COECYTJAL!E95</f>
        <v>2000</v>
      </c>
      <c r="F95" s="74">
        <f>'remanentes 2012'!F95+'Presupuestacion estatal'!F95+'Presupuestacion federal'!F95+'calculo de ingresos propios'!F95</f>
        <v>0</v>
      </c>
      <c r="G95" s="74">
        <f>'remanentes 2012'!G95+'Presupuestacion estatal'!G95+'Presupuestacion federal'!G95+'calculo de ingresos propios'!G95</f>
        <v>0</v>
      </c>
      <c r="H95" s="74">
        <f>'remanentes 2012'!H95+'Presupuestacion estatal'!H95+'Presupuestacion federal'!H95+'calculo de ingresos propios'!H95</f>
        <v>0</v>
      </c>
      <c r="I95" s="74">
        <f>'remanentes 2012'!I95+'Presupuestacion estatal'!I95+'Presupuestacion federal'!I95+'calculo de ingresos propios'!I95</f>
        <v>0</v>
      </c>
      <c r="J95" s="74">
        <f>'remanentes 2012'!J95+'Presupuestacion estatal'!J95+'Presupuestacion federal'!J95+'calculo de ingresos propios'!J95</f>
        <v>2000</v>
      </c>
      <c r="K95" s="74">
        <f>'remanentes 2012'!K95+'Presupuestacion estatal'!K95+'Presupuestacion federal'!K95+'calculo de ingresos propios'!K95</f>
        <v>0</v>
      </c>
      <c r="L95" s="74">
        <f>'remanentes 2012'!L95+'Presupuestacion estatal'!L95+'Presupuestacion federal'!L95+'calculo de ingresos propios'!L95</f>
        <v>0</v>
      </c>
      <c r="M95" s="74">
        <f>'remanentes 2012'!M95+'Presupuestacion estatal'!M95+'Presupuestacion federal'!M95+'calculo de ingresos propios'!M95</f>
        <v>0</v>
      </c>
      <c r="N95" s="74">
        <f>'remanentes 2012'!N95+'Presupuestacion estatal'!N95+'Presupuestacion federal'!N95+'calculo de ingresos propios'!N95</f>
        <v>2000</v>
      </c>
      <c r="O95" s="74">
        <f>'remanentes 2012'!O95+'Presupuestacion estatal'!O95+'Presupuestacion federal'!O95+'calculo de ingresos propios'!O95</f>
        <v>0</v>
      </c>
      <c r="P95" s="74">
        <f>'remanentes 2012'!P95+'Presupuestacion estatal'!P95+'Presupuestacion federal'!P95+'calculo de ingresos propios'!P95</f>
        <v>0</v>
      </c>
      <c r="Q95" s="33"/>
    </row>
    <row r="96" spans="1:17" s="34" customFormat="1" ht="36" x14ac:dyDescent="0.2">
      <c r="A96" s="54">
        <v>3621</v>
      </c>
      <c r="B96" s="54"/>
      <c r="C96" s="49" t="s">
        <v>108</v>
      </c>
      <c r="D96" s="61">
        <f t="shared" si="4"/>
        <v>405000</v>
      </c>
      <c r="E96" s="74">
        <f>'remanentes 2012'!E96+'Presupuestacion estatal'!E96+'Presupuestacion federal'!E96+'calculo de ingresos propios'!E96+COECYTJAL!E96</f>
        <v>150000</v>
      </c>
      <c r="F96" s="74">
        <f>'remanentes 2012'!F96+'Presupuestacion estatal'!F96+'Presupuestacion federal'!F96+'calculo de ingresos propios'!F96</f>
        <v>190000</v>
      </c>
      <c r="G96" s="74">
        <f>'remanentes 2012'!G96+'Presupuestacion estatal'!G96+'Presupuestacion federal'!G96+'calculo de ingresos propios'!G96</f>
        <v>50000</v>
      </c>
      <c r="H96" s="74">
        <f>'remanentes 2012'!H96+'Presupuestacion estatal'!H96+'Presupuestacion federal'!H96+'calculo de ingresos propios'!H96</f>
        <v>0</v>
      </c>
      <c r="I96" s="74">
        <f>'remanentes 2012'!I96+'Presupuestacion estatal'!I96+'Presupuestacion federal'!I96+'calculo de ingresos propios'!I96</f>
        <v>0</v>
      </c>
      <c r="J96" s="74">
        <f>'remanentes 2012'!J96+'Presupuestacion estatal'!J96+'Presupuestacion federal'!J96+'calculo de ingresos propios'!J96</f>
        <v>0</v>
      </c>
      <c r="K96" s="74">
        <f>'remanentes 2012'!K96+'Presupuestacion estatal'!K96+'Presupuestacion federal'!K96+'calculo de ingresos propios'!K96</f>
        <v>0</v>
      </c>
      <c r="L96" s="74">
        <f>'remanentes 2012'!L96+'Presupuestacion estatal'!L96+'Presupuestacion federal'!L96+'calculo de ingresos propios'!L96</f>
        <v>0</v>
      </c>
      <c r="M96" s="74">
        <f>'remanentes 2012'!M96+'Presupuestacion estatal'!M96+'Presupuestacion federal'!M96+'calculo de ingresos propios'!M96</f>
        <v>0</v>
      </c>
      <c r="N96" s="74">
        <f>'remanentes 2012'!N96+'Presupuestacion estatal'!N96+'Presupuestacion federal'!N96+'calculo de ingresos propios'!N96</f>
        <v>0</v>
      </c>
      <c r="O96" s="74">
        <f>'remanentes 2012'!O96+'Presupuestacion estatal'!O96+'Presupuestacion federal'!O96+'calculo de ingresos propios'!O96</f>
        <v>0</v>
      </c>
      <c r="P96" s="74">
        <f>'remanentes 2012'!P96+'Presupuestacion estatal'!P96+'Presupuestacion federal'!P96+'calculo de ingresos propios'!P96</f>
        <v>15000</v>
      </c>
      <c r="Q96" s="33"/>
    </row>
    <row r="97" spans="1:18" s="34" customFormat="1" x14ac:dyDescent="0.2">
      <c r="A97" s="54">
        <v>3711</v>
      </c>
      <c r="B97" s="54"/>
      <c r="C97" s="49" t="s">
        <v>109</v>
      </c>
      <c r="D97" s="61">
        <f t="shared" si="4"/>
        <v>55000</v>
      </c>
      <c r="E97" s="74">
        <f>'remanentes 2012'!E97+'Presupuestacion estatal'!E97+'Presupuestacion federal'!E97+'calculo de ingresos propios'!E97+COECYTJAL!E97</f>
        <v>5000</v>
      </c>
      <c r="F97" s="74">
        <f>'remanentes 2012'!F97+'Presupuestacion estatal'!F97+'Presupuestacion federal'!F97+'calculo de ingresos propios'!F97</f>
        <v>0</v>
      </c>
      <c r="G97" s="74">
        <f>'remanentes 2012'!G97+'Presupuestacion estatal'!G97+'Presupuestacion federal'!G97+'calculo de ingresos propios'!G97</f>
        <v>25000</v>
      </c>
      <c r="H97" s="74">
        <f>'remanentes 2012'!H97+'Presupuestacion estatal'!H97+'Presupuestacion federal'!H97+'calculo de ingresos propios'!H97</f>
        <v>0</v>
      </c>
      <c r="I97" s="74">
        <f>'remanentes 2012'!I97+'Presupuestacion estatal'!I97+'Presupuestacion federal'!I97+'calculo de ingresos propios'!I97</f>
        <v>5000</v>
      </c>
      <c r="J97" s="74">
        <f>'remanentes 2012'!J97+'Presupuestacion estatal'!J97+'Presupuestacion federal'!J97+'calculo de ingresos propios'!J97</f>
        <v>0</v>
      </c>
      <c r="K97" s="74">
        <f>'remanentes 2012'!K97+'Presupuestacion estatal'!K97+'Presupuestacion federal'!K97+'calculo de ingresos propios'!K97</f>
        <v>5000</v>
      </c>
      <c r="L97" s="74">
        <f>'remanentes 2012'!L97+'Presupuestacion estatal'!L97+'Presupuestacion federal'!L97+'calculo de ingresos propios'!L97</f>
        <v>5000</v>
      </c>
      <c r="M97" s="74">
        <f>'remanentes 2012'!M97+'Presupuestacion estatal'!M97+'Presupuestacion federal'!M97+'calculo de ingresos propios'!M97</f>
        <v>5000</v>
      </c>
      <c r="N97" s="74">
        <f>'remanentes 2012'!N97+'Presupuestacion estatal'!N97+'Presupuestacion federal'!N97+'calculo de ingresos propios'!N97</f>
        <v>0</v>
      </c>
      <c r="O97" s="74">
        <f>'remanentes 2012'!O97+'Presupuestacion estatal'!O97+'Presupuestacion federal'!O97+'calculo de ingresos propios'!O97</f>
        <v>5000</v>
      </c>
      <c r="P97" s="74">
        <f>'remanentes 2012'!P97+'Presupuestacion estatal'!P97+'Presupuestacion federal'!P97+'calculo de ingresos propios'!P97</f>
        <v>0</v>
      </c>
      <c r="Q97" s="33"/>
    </row>
    <row r="98" spans="1:18" s="34" customFormat="1" x14ac:dyDescent="0.2">
      <c r="A98" s="54">
        <v>3721</v>
      </c>
      <c r="B98" s="54"/>
      <c r="C98" s="49" t="s">
        <v>110</v>
      </c>
      <c r="D98" s="61">
        <f t="shared" si="4"/>
        <v>42000</v>
      </c>
      <c r="E98" s="74">
        <f>'remanentes 2012'!E98+'Presupuestacion estatal'!E98+'Presupuestacion federal'!E98+'calculo de ingresos propios'!E98+COECYTJAL!E98</f>
        <v>0</v>
      </c>
      <c r="F98" s="74">
        <f>'remanentes 2012'!F98+'Presupuestacion estatal'!F98+'Presupuestacion federal'!F98+'calculo de ingresos propios'!F98</f>
        <v>0</v>
      </c>
      <c r="G98" s="74">
        <f>'remanentes 2012'!G98+'Presupuestacion estatal'!G98+'Presupuestacion federal'!G98+'calculo de ingresos propios'!G98</f>
        <v>18000</v>
      </c>
      <c r="H98" s="74">
        <f>'remanentes 2012'!H98+'Presupuestacion estatal'!H98+'Presupuestacion federal'!H98+'calculo de ingresos propios'!H98</f>
        <v>3000</v>
      </c>
      <c r="I98" s="74">
        <f>'remanentes 2012'!I98+'Presupuestacion estatal'!I98+'Presupuestacion federal'!I98+'calculo de ingresos propios'!I98</f>
        <v>0</v>
      </c>
      <c r="J98" s="74">
        <f>'remanentes 2012'!J98+'Presupuestacion estatal'!J98+'Presupuestacion federal'!J98+'calculo de ingresos propios'!J98</f>
        <v>0</v>
      </c>
      <c r="K98" s="74">
        <f>'remanentes 2012'!K98+'Presupuestacion estatal'!K98+'Presupuestacion federal'!K98+'calculo de ingresos propios'!K98</f>
        <v>3000</v>
      </c>
      <c r="L98" s="74">
        <f>'remanentes 2012'!L98+'Presupuestacion estatal'!L98+'Presupuestacion federal'!L98+'calculo de ingresos propios'!L98</f>
        <v>0</v>
      </c>
      <c r="M98" s="74">
        <f>'remanentes 2012'!M98+'Presupuestacion estatal'!M98+'Presupuestacion federal'!M98+'calculo de ingresos propios'!M98</f>
        <v>3000</v>
      </c>
      <c r="N98" s="74">
        <f>'remanentes 2012'!N98+'Presupuestacion estatal'!N98+'Presupuestacion federal'!N98+'calculo de ingresos propios'!N98</f>
        <v>3000</v>
      </c>
      <c r="O98" s="74">
        <f>'remanentes 2012'!O98+'Presupuestacion estatal'!O98+'Presupuestacion federal'!O98+'calculo de ingresos propios'!O98</f>
        <v>6000</v>
      </c>
      <c r="P98" s="74">
        <f>'remanentes 2012'!P98+'Presupuestacion estatal'!P98+'Presupuestacion federal'!P98+'calculo de ingresos propios'!P98</f>
        <v>6000</v>
      </c>
      <c r="Q98" s="33"/>
    </row>
    <row r="99" spans="1:18" s="34" customFormat="1" x14ac:dyDescent="0.2">
      <c r="A99" s="54">
        <v>3751</v>
      </c>
      <c r="B99" s="54"/>
      <c r="C99" s="49" t="s">
        <v>111</v>
      </c>
      <c r="D99" s="61">
        <f t="shared" si="4"/>
        <v>220000</v>
      </c>
      <c r="E99" s="74">
        <f>'remanentes 2012'!E99+'Presupuestacion estatal'!E99+'Presupuestacion federal'!E99+'calculo de ingresos propios'!E99+COECYTJAL!E99</f>
        <v>5000</v>
      </c>
      <c r="F99" s="74">
        <f>'remanentes 2012'!F99+'Presupuestacion estatal'!F99+'Presupuestacion federal'!F99+'calculo de ingresos propios'!F99</f>
        <v>5000</v>
      </c>
      <c r="G99" s="74">
        <f>'remanentes 2012'!G99+'Presupuestacion estatal'!G99+'Presupuestacion federal'!G99+'calculo de ingresos propios'!G99</f>
        <v>90000</v>
      </c>
      <c r="H99" s="74">
        <f>'remanentes 2012'!H99+'Presupuestacion estatal'!H99+'Presupuestacion federal'!H99+'calculo de ingresos propios'!H99</f>
        <v>10000</v>
      </c>
      <c r="I99" s="74">
        <f>'remanentes 2012'!I99+'Presupuestacion estatal'!I99+'Presupuestacion federal'!I99+'calculo de ingresos propios'!I99</f>
        <v>10000</v>
      </c>
      <c r="J99" s="74">
        <f>'remanentes 2012'!J99+'Presupuestacion estatal'!J99+'Presupuestacion federal'!J99+'calculo de ingresos propios'!J99</f>
        <v>10000</v>
      </c>
      <c r="K99" s="74">
        <f>'remanentes 2012'!K99+'Presupuestacion estatal'!K99+'Presupuestacion federal'!K99+'calculo de ingresos propios'!K99</f>
        <v>10000</v>
      </c>
      <c r="L99" s="74">
        <f>'remanentes 2012'!L99+'Presupuestacion estatal'!L99+'Presupuestacion federal'!L99+'calculo de ingresos propios'!L99</f>
        <v>5000</v>
      </c>
      <c r="M99" s="74">
        <f>'remanentes 2012'!M99+'Presupuestacion estatal'!M99+'Presupuestacion federal'!M99+'calculo de ingresos propios'!M99</f>
        <v>10000</v>
      </c>
      <c r="N99" s="74">
        <f>'remanentes 2012'!N99+'Presupuestacion estatal'!N99+'Presupuestacion federal'!N99+'calculo de ingresos propios'!N99</f>
        <v>10000</v>
      </c>
      <c r="O99" s="74">
        <f>'remanentes 2012'!O99+'Presupuestacion estatal'!O99+'Presupuestacion federal'!O99+'calculo de ingresos propios'!O99</f>
        <v>17000</v>
      </c>
      <c r="P99" s="74">
        <f>'remanentes 2012'!P99+'Presupuestacion estatal'!P99+'Presupuestacion federal'!P99+'calculo de ingresos propios'!P99</f>
        <v>38000</v>
      </c>
      <c r="Q99" s="33"/>
    </row>
    <row r="100" spans="1:18" s="34" customFormat="1" x14ac:dyDescent="0.2">
      <c r="A100" s="54">
        <v>3791</v>
      </c>
      <c r="B100" s="54"/>
      <c r="C100" s="49" t="s">
        <v>112</v>
      </c>
      <c r="D100" s="61">
        <f t="shared" si="4"/>
        <v>160578.09</v>
      </c>
      <c r="E100" s="74">
        <f>'remanentes 2012'!E100+'Presupuestacion estatal'!E100+'Presupuestacion federal'!E100+'calculo de ingresos propios'!E100+COECYTJAL!E100</f>
        <v>578.09</v>
      </c>
      <c r="F100" s="74">
        <f>'remanentes 2012'!F100+'Presupuestacion estatal'!F100+'Presupuestacion federal'!F100+'calculo de ingresos propios'!F100</f>
        <v>0</v>
      </c>
      <c r="G100" s="74">
        <f>'remanentes 2012'!G100+'Presupuestacion estatal'!G100+'Presupuestacion federal'!G100+'calculo de ingresos propios'!G100</f>
        <v>20000</v>
      </c>
      <c r="H100" s="74">
        <f>'remanentes 2012'!H100+'Presupuestacion estatal'!H100+'Presupuestacion federal'!H100+'calculo de ingresos propios'!H100</f>
        <v>0</v>
      </c>
      <c r="I100" s="74">
        <f>'remanentes 2012'!I100+'Presupuestacion estatal'!I100+'Presupuestacion federal'!I100+'calculo de ingresos propios'!I100</f>
        <v>0</v>
      </c>
      <c r="J100" s="74">
        <f>'remanentes 2012'!J100+'Presupuestacion estatal'!J100+'Presupuestacion federal'!J100+'calculo de ingresos propios'!J100</f>
        <v>0</v>
      </c>
      <c r="K100" s="74">
        <f>'remanentes 2012'!K100+'Presupuestacion estatal'!K100+'Presupuestacion federal'!K100+'calculo de ingresos propios'!K100</f>
        <v>0</v>
      </c>
      <c r="L100" s="74">
        <f>'remanentes 2012'!L100+'Presupuestacion estatal'!L100+'Presupuestacion federal'!L100+'calculo de ingresos propios'!L100</f>
        <v>0</v>
      </c>
      <c r="M100" s="74">
        <f>'remanentes 2012'!M100+'Presupuestacion estatal'!M100+'Presupuestacion federal'!M100+'calculo de ingresos propios'!M100</f>
        <v>50000</v>
      </c>
      <c r="N100" s="74">
        <f>'remanentes 2012'!N100+'Presupuestacion estatal'!N100+'Presupuestacion federal'!N100+'calculo de ingresos propios'!N100</f>
        <v>40000</v>
      </c>
      <c r="O100" s="74">
        <f>'remanentes 2012'!O100+'Presupuestacion estatal'!O100+'Presupuestacion federal'!O100+'calculo de ingresos propios'!O100</f>
        <v>50000</v>
      </c>
      <c r="P100" s="74">
        <f>'remanentes 2012'!P100+'Presupuestacion estatal'!P100+'Presupuestacion federal'!P100+'calculo de ingresos propios'!P100</f>
        <v>0</v>
      </c>
      <c r="Q100" s="33"/>
    </row>
    <row r="101" spans="1:18" s="34" customFormat="1" x14ac:dyDescent="0.2">
      <c r="A101" s="54">
        <v>3821</v>
      </c>
      <c r="B101" s="54"/>
      <c r="C101" s="49" t="s">
        <v>113</v>
      </c>
      <c r="D101" s="61">
        <f t="shared" si="4"/>
        <v>125000</v>
      </c>
      <c r="E101" s="74">
        <f>'remanentes 2012'!E101+'Presupuestacion estatal'!E101+'Presupuestacion federal'!E101+'calculo de ingresos propios'!E101+COECYTJAL!E101</f>
        <v>0</v>
      </c>
      <c r="F101" s="74">
        <f>'remanentes 2012'!F101+'Presupuestacion estatal'!F101+'Presupuestacion federal'!F101+'calculo de ingresos propios'!F101</f>
        <v>0</v>
      </c>
      <c r="G101" s="74">
        <f>'remanentes 2012'!G101+'Presupuestacion estatal'!G101+'Presupuestacion federal'!G101+'calculo de ingresos propios'!G101</f>
        <v>45000</v>
      </c>
      <c r="H101" s="74">
        <f>'remanentes 2012'!H101+'Presupuestacion estatal'!H101+'Presupuestacion federal'!H101+'calculo de ingresos propios'!H101</f>
        <v>0</v>
      </c>
      <c r="I101" s="74">
        <f>'remanentes 2012'!I101+'Presupuestacion estatal'!I101+'Presupuestacion federal'!I101+'calculo de ingresos propios'!I101</f>
        <v>30000</v>
      </c>
      <c r="J101" s="74">
        <f>'remanentes 2012'!J101+'Presupuestacion estatal'!J101+'Presupuestacion federal'!J101+'calculo de ingresos propios'!J101</f>
        <v>0</v>
      </c>
      <c r="K101" s="74">
        <f>'remanentes 2012'!K101+'Presupuestacion estatal'!K101+'Presupuestacion federal'!K101+'calculo de ingresos propios'!K101</f>
        <v>0</v>
      </c>
      <c r="L101" s="74">
        <f>'remanentes 2012'!L101+'Presupuestacion estatal'!L101+'Presupuestacion federal'!L101+'calculo de ingresos propios'!L101</f>
        <v>0</v>
      </c>
      <c r="M101" s="74">
        <f>'remanentes 2012'!M101+'Presupuestacion estatal'!M101+'Presupuestacion federal'!M101+'calculo de ingresos propios'!M101</f>
        <v>0</v>
      </c>
      <c r="N101" s="74">
        <f>'remanentes 2012'!N101+'Presupuestacion estatal'!N101+'Presupuestacion federal'!N101+'calculo de ingresos propios'!N101</f>
        <v>0</v>
      </c>
      <c r="O101" s="74">
        <f>'remanentes 2012'!O101+'Presupuestacion estatal'!O101+'Presupuestacion federal'!O101+'calculo de ingresos propios'!O101</f>
        <v>30000</v>
      </c>
      <c r="P101" s="74">
        <f>'remanentes 2012'!P101+'Presupuestacion estatal'!P101+'Presupuestacion federal'!P101+'calculo de ingresos propios'!P101</f>
        <v>20000</v>
      </c>
      <c r="Q101" s="33"/>
    </row>
    <row r="102" spans="1:18" s="34" customFormat="1" x14ac:dyDescent="0.2">
      <c r="A102" s="54">
        <v>3822</v>
      </c>
      <c r="B102" s="54"/>
      <c r="C102" s="49" t="s">
        <v>114</v>
      </c>
      <c r="D102" s="61">
        <f t="shared" si="4"/>
        <v>135069.74</v>
      </c>
      <c r="E102" s="74">
        <f>'remanentes 2012'!E102+'Presupuestacion estatal'!E102+'Presupuestacion federal'!E102+'calculo de ingresos propios'!E102+COECYTJAL!E102</f>
        <v>0</v>
      </c>
      <c r="F102" s="74">
        <f>'remanentes 2012'!F102+'Presupuestacion estatal'!F102+'Presupuestacion federal'!F102+'calculo de ingresos propios'!F102</f>
        <v>0</v>
      </c>
      <c r="G102" s="74">
        <f>'remanentes 2012'!G102+'Presupuestacion estatal'!G102+'Presupuestacion federal'!G102+'calculo de ingresos propios'!G102</f>
        <v>34069.74</v>
      </c>
      <c r="H102" s="74">
        <f>'remanentes 2012'!H102+'Presupuestacion estatal'!H102+'Presupuestacion federal'!H102+'calculo de ingresos propios'!H102</f>
        <v>0</v>
      </c>
      <c r="I102" s="74">
        <f>'remanentes 2012'!I102+'Presupuestacion estatal'!I102+'Presupuestacion federal'!I102+'calculo de ingresos propios'!I102</f>
        <v>20000</v>
      </c>
      <c r="J102" s="74">
        <f>'remanentes 2012'!J102+'Presupuestacion estatal'!J102+'Presupuestacion federal'!J102+'calculo de ingresos propios'!J102</f>
        <v>0</v>
      </c>
      <c r="K102" s="74">
        <f>'remanentes 2012'!K102+'Presupuestacion estatal'!K102+'Presupuestacion federal'!K102+'calculo de ingresos propios'!K102</f>
        <v>0</v>
      </c>
      <c r="L102" s="74">
        <f>'remanentes 2012'!L102+'Presupuestacion estatal'!L102+'Presupuestacion federal'!L102+'calculo de ingresos propios'!L102</f>
        <v>0</v>
      </c>
      <c r="M102" s="74">
        <f>'remanentes 2012'!M102+'Presupuestacion estatal'!M102+'Presupuestacion federal'!M102+'calculo de ingresos propios'!M102</f>
        <v>30000</v>
      </c>
      <c r="N102" s="74">
        <f>'remanentes 2012'!N102+'Presupuestacion estatal'!N102+'Presupuestacion federal'!N102+'calculo de ingresos propios'!N102</f>
        <v>40000</v>
      </c>
      <c r="O102" s="74">
        <f>'remanentes 2012'!O102+'Presupuestacion estatal'!O102+'Presupuestacion federal'!O102+'calculo de ingresos propios'!O102</f>
        <v>0</v>
      </c>
      <c r="P102" s="74">
        <f>'remanentes 2012'!P102+'Presupuestacion estatal'!P102+'Presupuestacion federal'!P102+'calculo de ingresos propios'!P102</f>
        <v>11000</v>
      </c>
      <c r="Q102" s="33"/>
    </row>
    <row r="103" spans="1:18" s="34" customFormat="1" x14ac:dyDescent="0.2">
      <c r="A103" s="54">
        <v>3792</v>
      </c>
      <c r="B103" s="54"/>
      <c r="C103" s="49" t="s">
        <v>115</v>
      </c>
      <c r="D103" s="61">
        <f t="shared" si="4"/>
        <v>75000</v>
      </c>
      <c r="E103" s="74">
        <f>'remanentes 2012'!E103+'Presupuestacion estatal'!E103+'Presupuestacion federal'!E103+'calculo de ingresos propios'!E103+COECYTJAL!E103</f>
        <v>0</v>
      </c>
      <c r="F103" s="74">
        <f>'remanentes 2012'!F103+'Presupuestacion estatal'!F103+'Presupuestacion federal'!F103+'calculo de ingresos propios'!F103</f>
        <v>4000</v>
      </c>
      <c r="G103" s="74">
        <f>'remanentes 2012'!G103+'Presupuestacion estatal'!G103+'Presupuestacion federal'!G103+'calculo de ingresos propios'!G103</f>
        <v>39000</v>
      </c>
      <c r="H103" s="74">
        <f>'remanentes 2012'!H103+'Presupuestacion estatal'!H103+'Presupuestacion federal'!H103+'calculo de ingresos propios'!H103</f>
        <v>4000</v>
      </c>
      <c r="I103" s="74">
        <f>'remanentes 2012'!I103+'Presupuestacion estatal'!I103+'Presupuestacion federal'!I103+'calculo de ingresos propios'!I103</f>
        <v>4000</v>
      </c>
      <c r="J103" s="74">
        <f>'remanentes 2012'!J103+'Presupuestacion estatal'!J103+'Presupuestacion federal'!J103+'calculo de ingresos propios'!J103</f>
        <v>4000</v>
      </c>
      <c r="K103" s="74">
        <f>'remanentes 2012'!K103+'Presupuestacion estatal'!K103+'Presupuestacion federal'!K103+'calculo de ingresos propios'!K103</f>
        <v>4000</v>
      </c>
      <c r="L103" s="74">
        <f>'remanentes 2012'!L103+'Presupuestacion estatal'!L103+'Presupuestacion federal'!L103+'calculo de ingresos propios'!L103</f>
        <v>4000</v>
      </c>
      <c r="M103" s="74">
        <f>'remanentes 2012'!M103+'Presupuestacion estatal'!M103+'Presupuestacion federal'!M103+'calculo de ingresos propios'!M103</f>
        <v>4000</v>
      </c>
      <c r="N103" s="74">
        <f>'remanentes 2012'!N103+'Presupuestacion estatal'!N103+'Presupuestacion federal'!N103+'calculo de ingresos propios'!N103</f>
        <v>4000</v>
      </c>
      <c r="O103" s="74">
        <f>'remanentes 2012'!O103+'Presupuestacion estatal'!O103+'Presupuestacion federal'!O103+'calculo de ingresos propios'!O103</f>
        <v>4000</v>
      </c>
      <c r="P103" s="74">
        <f>'remanentes 2012'!P103+'Presupuestacion estatal'!P103+'Presupuestacion federal'!P103+'calculo de ingresos propios'!P103</f>
        <v>0</v>
      </c>
      <c r="Q103" s="33"/>
    </row>
    <row r="104" spans="1:18" s="34" customFormat="1" x14ac:dyDescent="0.2">
      <c r="A104" s="54">
        <v>3921</v>
      </c>
      <c r="B104" s="54"/>
      <c r="C104" s="49" t="s">
        <v>116</v>
      </c>
      <c r="D104" s="61">
        <f t="shared" si="4"/>
        <v>34518</v>
      </c>
      <c r="E104" s="74">
        <f>'remanentes 2012'!E104+'Presupuestacion estatal'!E104+'Presupuestacion federal'!E104+'calculo de ingresos propios'!E104+COECYTJAL!E104</f>
        <v>4500</v>
      </c>
      <c r="F104" s="74">
        <f>'remanentes 2012'!F104+'Presupuestacion estatal'!F104+'Presupuestacion federal'!F104+'calculo de ingresos propios'!F104</f>
        <v>0</v>
      </c>
      <c r="G104" s="74">
        <f>'remanentes 2012'!G104+'Presupuestacion estatal'!G104+'Presupuestacion federal'!G104+'calculo de ingresos propios'!G104</f>
        <v>10018</v>
      </c>
      <c r="H104" s="74">
        <f>'remanentes 2012'!H104+'Presupuestacion estatal'!H104+'Presupuestacion federal'!H104+'calculo de ingresos propios'!H104</f>
        <v>0</v>
      </c>
      <c r="I104" s="74">
        <f>'remanentes 2012'!I104+'Presupuestacion estatal'!I104+'Presupuestacion federal'!I104+'calculo de ingresos propios'!I104</f>
        <v>0</v>
      </c>
      <c r="J104" s="74">
        <f>'remanentes 2012'!J104+'Presupuestacion estatal'!J104+'Presupuestacion federal'!J104+'calculo de ingresos propios'!J104</f>
        <v>0</v>
      </c>
      <c r="K104" s="74">
        <f>'remanentes 2012'!K104+'Presupuestacion estatal'!K104+'Presupuestacion federal'!K104+'calculo de ingresos propios'!K104</f>
        <v>20000</v>
      </c>
      <c r="L104" s="74">
        <f>'remanentes 2012'!L104+'Presupuestacion estatal'!L104+'Presupuestacion federal'!L104+'calculo de ingresos propios'!L104</f>
        <v>0</v>
      </c>
      <c r="M104" s="74">
        <f>'remanentes 2012'!M104+'Presupuestacion estatal'!M104+'Presupuestacion federal'!M104+'calculo de ingresos propios'!M104</f>
        <v>0</v>
      </c>
      <c r="N104" s="74">
        <f>'remanentes 2012'!N104+'Presupuestacion estatal'!N104+'Presupuestacion federal'!N104+'calculo de ingresos propios'!N104</f>
        <v>0</v>
      </c>
      <c r="O104" s="74">
        <f>'remanentes 2012'!O104+'Presupuestacion estatal'!O104+'Presupuestacion federal'!O104+'calculo de ingresos propios'!O104</f>
        <v>0</v>
      </c>
      <c r="P104" s="74">
        <f>'remanentes 2012'!P104+'Presupuestacion estatal'!P104+'Presupuestacion federal'!P104+'calculo de ingresos propios'!P104</f>
        <v>0</v>
      </c>
      <c r="Q104" s="33"/>
    </row>
    <row r="105" spans="1:18" s="11" customFormat="1" ht="25.5" x14ac:dyDescent="0.2">
      <c r="A105" s="22"/>
      <c r="B105" s="22"/>
      <c r="C105" s="62" t="s">
        <v>18</v>
      </c>
      <c r="D105" s="65">
        <f t="shared" ref="D105:P105" si="5">SUM(D68:D104)</f>
        <v>4117517.8999999994</v>
      </c>
      <c r="E105" s="24">
        <f t="shared" si="5"/>
        <v>793838.63</v>
      </c>
      <c r="F105" s="24">
        <f t="shared" si="5"/>
        <v>334363.05</v>
      </c>
      <c r="G105" s="24">
        <f t="shared" si="5"/>
        <v>642622.79</v>
      </c>
      <c r="H105" s="24">
        <f t="shared" si="5"/>
        <v>172900</v>
      </c>
      <c r="I105" s="24">
        <f t="shared" si="5"/>
        <v>383800.03</v>
      </c>
      <c r="J105" s="24">
        <f t="shared" si="5"/>
        <v>104400</v>
      </c>
      <c r="K105" s="24">
        <f t="shared" si="5"/>
        <v>240080</v>
      </c>
      <c r="L105" s="24">
        <f t="shared" si="5"/>
        <v>251580</v>
      </c>
      <c r="M105" s="24">
        <f t="shared" si="5"/>
        <v>326080</v>
      </c>
      <c r="N105" s="24">
        <f t="shared" si="5"/>
        <v>341693.39999999997</v>
      </c>
      <c r="O105" s="24">
        <f t="shared" si="5"/>
        <v>337080</v>
      </c>
      <c r="P105" s="24">
        <f t="shared" si="5"/>
        <v>189080</v>
      </c>
      <c r="Q105" s="30"/>
      <c r="R105" s="26"/>
    </row>
    <row r="106" spans="1:18" x14ac:dyDescent="0.2">
      <c r="A106" s="68">
        <v>4419</v>
      </c>
      <c r="B106" s="68"/>
      <c r="C106" s="68" t="s">
        <v>122</v>
      </c>
      <c r="D106" s="36">
        <f t="shared" ref="D106:D118" si="6">SUM(E106:P106)</f>
        <v>543854.64</v>
      </c>
      <c r="E106" s="74">
        <f>'remanentes 2012'!E106+'Presupuestacion estatal'!E106+'Presupuestacion federal'!E106+'calculo de ingresos propios'!E106</f>
        <v>0</v>
      </c>
      <c r="F106" s="74">
        <f>'remanentes 2012'!F106+'Presupuestacion estatal'!F106+'Presupuestacion federal'!F106+'calculo de ingresos propios'!F106</f>
        <v>0</v>
      </c>
      <c r="G106" s="74">
        <f>'remanentes 2012'!G106+'Presupuestacion estatal'!G106+'Presupuestacion federal'!G106+'calculo de ingresos propios'!G106</f>
        <v>0</v>
      </c>
      <c r="H106" s="74">
        <f>'remanentes 2012'!H106+'Presupuestacion estatal'!H106+'Presupuestacion federal'!H106+'calculo de ingresos propios'!H106</f>
        <v>0</v>
      </c>
      <c r="I106" s="74">
        <f>'remanentes 2012'!I106+'Presupuestacion estatal'!I106+'Presupuestacion federal'!I106+'calculo de ingresos propios'!I106</f>
        <v>0</v>
      </c>
      <c r="J106" s="74">
        <f>'remanentes 2012'!J106+'Presupuestacion estatal'!J106+'Presupuestacion federal'!J106+'calculo de ingresos propios'!J106</f>
        <v>0</v>
      </c>
      <c r="K106" s="74">
        <f>'remanentes 2012'!K106+'Presupuestacion estatal'!K106+'Presupuestacion federal'!K106+'calculo de ingresos propios'!K106</f>
        <v>0</v>
      </c>
      <c r="L106" s="74">
        <f>'remanentes 2012'!L106+'Presupuestacion estatal'!L106+'Presupuestacion federal'!L106+'calculo de ingresos propios'!L106</f>
        <v>0</v>
      </c>
      <c r="M106" s="74">
        <f>'remanentes 2012'!M106+'Presupuestacion estatal'!M106+'Presupuestacion federal'!M106+'calculo de ingresos propios'!M106</f>
        <v>0</v>
      </c>
      <c r="N106" s="74">
        <f>'remanentes 2012'!N106+'Presupuestacion estatal'!N106+'Presupuestacion federal'!N106+'calculo de ingresos propios'!N106</f>
        <v>0</v>
      </c>
      <c r="O106" s="74">
        <f>'remanentes 2012'!O106+'Presupuestacion estatal'!O106+'Presupuestacion federal'!O106+'calculo de ingresos propios'!O106</f>
        <v>0</v>
      </c>
      <c r="P106" s="74">
        <f>'remanentes 2012'!P106+'Presupuestacion estatal'!P106+'Presupuestacion federal'!P106+'calculo de ingresos propios'!P106</f>
        <v>543854.64</v>
      </c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7">SUM(D106:D106)</f>
        <v>543854.64</v>
      </c>
      <c r="E107" s="126">
        <f t="shared" si="7"/>
        <v>0</v>
      </c>
      <c r="F107" s="39">
        <f t="shared" si="7"/>
        <v>0</v>
      </c>
      <c r="G107" s="39">
        <f t="shared" si="7"/>
        <v>0</v>
      </c>
      <c r="H107" s="39">
        <f t="shared" si="7"/>
        <v>0</v>
      </c>
      <c r="I107" s="39">
        <f t="shared" si="7"/>
        <v>0</v>
      </c>
      <c r="J107" s="39">
        <f t="shared" si="7"/>
        <v>0</v>
      </c>
      <c r="K107" s="39">
        <f t="shared" si="7"/>
        <v>0</v>
      </c>
      <c r="L107" s="39">
        <f t="shared" si="7"/>
        <v>0</v>
      </c>
      <c r="M107" s="39">
        <f t="shared" si="7"/>
        <v>0</v>
      </c>
      <c r="N107" s="39">
        <f t="shared" si="7"/>
        <v>0</v>
      </c>
      <c r="O107" s="39">
        <f t="shared" si="7"/>
        <v>0</v>
      </c>
      <c r="P107" s="39">
        <f t="shared" si="7"/>
        <v>543854.64</v>
      </c>
      <c r="Q107" s="25"/>
    </row>
    <row r="108" spans="1:18" ht="25.5" x14ac:dyDescent="0.2">
      <c r="A108" s="35">
        <v>5151</v>
      </c>
      <c r="B108" s="35"/>
      <c r="C108" s="40" t="s">
        <v>144</v>
      </c>
      <c r="D108" s="36">
        <f t="shared" si="6"/>
        <v>235000</v>
      </c>
      <c r="E108" s="70">
        <f>'remanentes 2012'!E108</f>
        <v>0</v>
      </c>
      <c r="F108" s="70">
        <f>'remanentes 2012'!F108</f>
        <v>45000</v>
      </c>
      <c r="G108" s="70">
        <f>'remanentes 2012'!G108</f>
        <v>30000</v>
      </c>
      <c r="H108" s="70">
        <f>'remanentes 2012'!H108</f>
        <v>150000</v>
      </c>
      <c r="I108" s="70">
        <f>'remanentes 2012'!I108</f>
        <v>10000</v>
      </c>
      <c r="J108" s="70">
        <f>'remanentes 2012'!J108</f>
        <v>0</v>
      </c>
      <c r="K108" s="70">
        <f>'remanentes 2012'!K108</f>
        <v>0</v>
      </c>
      <c r="L108" s="70">
        <f>'remanentes 2012'!L108</f>
        <v>0</v>
      </c>
      <c r="M108" s="70">
        <f>'remanentes 2012'!M108</f>
        <v>0</v>
      </c>
      <c r="N108" s="70">
        <f>'remanentes 2012'!N108</f>
        <v>0</v>
      </c>
      <c r="O108" s="70">
        <f>'remanentes 2012'!O108</f>
        <v>0</v>
      </c>
      <c r="P108" s="70">
        <f>'remanentes 2012'!P108</f>
        <v>0</v>
      </c>
      <c r="Q108" s="38"/>
    </row>
    <row r="109" spans="1:18" s="73" customFormat="1" x14ac:dyDescent="0.2">
      <c r="A109" s="127">
        <v>5611</v>
      </c>
      <c r="B109" s="127"/>
      <c r="C109" s="155" t="s">
        <v>146</v>
      </c>
      <c r="D109" s="69">
        <f t="shared" si="6"/>
        <v>519106.60000000003</v>
      </c>
      <c r="E109" s="70">
        <f>'remanentes 2012'!E109</f>
        <v>0</v>
      </c>
      <c r="F109" s="70">
        <f>'remanentes 2012'!F109</f>
        <v>15000</v>
      </c>
      <c r="G109" s="70">
        <f>'remanentes 2012'!G109</f>
        <v>25000</v>
      </c>
      <c r="H109" s="70">
        <f>'remanentes 2012'!H109</f>
        <v>385495.84</v>
      </c>
      <c r="I109" s="70">
        <f>'remanentes 2012'!I109</f>
        <v>0</v>
      </c>
      <c r="J109" s="70">
        <f>'remanentes 2012'!J109</f>
        <v>0</v>
      </c>
      <c r="K109" s="70">
        <f>'remanentes 2012'!K109</f>
        <v>0</v>
      </c>
      <c r="L109" s="70">
        <f>'remanentes 2012'!L109</f>
        <v>0</v>
      </c>
      <c r="M109" s="70">
        <f>'remanentes 2012'!M109</f>
        <v>0</v>
      </c>
      <c r="N109" s="70">
        <f>'remanentes 2012'!N109</f>
        <v>0</v>
      </c>
      <c r="O109" s="70">
        <f>'remanentes 2012'!O109</f>
        <v>0</v>
      </c>
      <c r="P109" s="70">
        <f>'remanentes 2012'!P109+'calculo de ingresos propios'!P109</f>
        <v>93610.76</v>
      </c>
      <c r="Q109" s="72"/>
    </row>
    <row r="110" spans="1:18" x14ac:dyDescent="0.2">
      <c r="A110" s="35">
        <v>5621</v>
      </c>
      <c r="B110" s="35"/>
      <c r="C110" s="60" t="s">
        <v>149</v>
      </c>
      <c r="D110" s="36">
        <f t="shared" si="6"/>
        <v>600000</v>
      </c>
      <c r="E110" s="70">
        <f>'remanentes 2012'!E110</f>
        <v>0</v>
      </c>
      <c r="F110" s="70">
        <f>'remanentes 2012'!F110</f>
        <v>200000</v>
      </c>
      <c r="G110" s="70">
        <f>'remanentes 2012'!G110</f>
        <v>200000</v>
      </c>
      <c r="H110" s="70">
        <f>'remanentes 2012'!H110</f>
        <v>200000</v>
      </c>
      <c r="I110" s="70">
        <f>'remanentes 2012'!I110</f>
        <v>0</v>
      </c>
      <c r="J110" s="70">
        <f>'remanentes 2012'!J110</f>
        <v>0</v>
      </c>
      <c r="K110" s="70">
        <f>'remanentes 2012'!K110</f>
        <v>0</v>
      </c>
      <c r="L110" s="70">
        <f>'remanentes 2012'!L110</f>
        <v>0</v>
      </c>
      <c r="M110" s="70">
        <f>'remanentes 2012'!M110</f>
        <v>0</v>
      </c>
      <c r="N110" s="70">
        <f>'remanentes 2012'!N110</f>
        <v>0</v>
      </c>
      <c r="O110" s="70">
        <f>'remanentes 2012'!O110</f>
        <v>0</v>
      </c>
      <c r="P110" s="70">
        <f>'remanentes 2012'!P110</f>
        <v>0</v>
      </c>
      <c r="Q110" s="38"/>
    </row>
    <row r="111" spans="1:18" x14ac:dyDescent="0.2">
      <c r="A111" s="35">
        <v>5911</v>
      </c>
      <c r="B111" s="35"/>
      <c r="C111" s="60" t="s">
        <v>145</v>
      </c>
      <c r="D111" s="36">
        <f>SUM(E111:P111)</f>
        <v>227736.84</v>
      </c>
      <c r="E111" s="70">
        <f>'remanentes 2012'!E111</f>
        <v>0</v>
      </c>
      <c r="F111" s="70">
        <f>'remanentes 2012'!F111</f>
        <v>130000</v>
      </c>
      <c r="G111" s="70">
        <f>'remanentes 2012'!G111</f>
        <v>0</v>
      </c>
      <c r="H111" s="70">
        <f>'remanentes 2012'!H111</f>
        <v>0</v>
      </c>
      <c r="I111" s="70">
        <f>'remanentes 2012'!I111</f>
        <v>97736.84</v>
      </c>
      <c r="J111" s="70">
        <f>'remanentes 2012'!J111</f>
        <v>0</v>
      </c>
      <c r="K111" s="70">
        <f>'remanentes 2012'!K111</f>
        <v>0</v>
      </c>
      <c r="L111" s="70">
        <f>'remanentes 2012'!L111</f>
        <v>0</v>
      </c>
      <c r="M111" s="70">
        <f>'remanentes 2012'!M111</f>
        <v>0</v>
      </c>
      <c r="N111" s="70">
        <f>'remanentes 2012'!N111</f>
        <v>0</v>
      </c>
      <c r="O111" s="70">
        <f>'remanentes 2012'!O111</f>
        <v>0</v>
      </c>
      <c r="P111" s="70">
        <f>'remanentes 2012'!P111</f>
        <v>0</v>
      </c>
      <c r="Q111" s="38"/>
    </row>
    <row r="112" spans="1:18" s="11" customFormat="1" ht="25.5" x14ac:dyDescent="0.2">
      <c r="A112" s="22"/>
      <c r="B112" s="22"/>
      <c r="C112" s="62" t="s">
        <v>118</v>
      </c>
      <c r="D112" s="23">
        <f>SUM(D108:D111)</f>
        <v>1581843.4400000002</v>
      </c>
      <c r="E112" s="41">
        <f t="shared" ref="E112" si="8">SUM(E108:E108)</f>
        <v>0</v>
      </c>
      <c r="F112" s="126">
        <f>SUM(F108:F111)</f>
        <v>390000</v>
      </c>
      <c r="G112" s="126">
        <f t="shared" ref="G112:P112" si="9">SUM(G108:G111)</f>
        <v>255000</v>
      </c>
      <c r="H112" s="126">
        <f t="shared" si="9"/>
        <v>735495.84000000008</v>
      </c>
      <c r="I112" s="126">
        <f t="shared" si="9"/>
        <v>107736.84</v>
      </c>
      <c r="J112" s="126">
        <f t="shared" si="9"/>
        <v>0</v>
      </c>
      <c r="K112" s="126">
        <f t="shared" si="9"/>
        <v>0</v>
      </c>
      <c r="L112" s="126">
        <f t="shared" si="9"/>
        <v>0</v>
      </c>
      <c r="M112" s="126">
        <f t="shared" si="9"/>
        <v>0</v>
      </c>
      <c r="N112" s="126">
        <f t="shared" si="9"/>
        <v>0</v>
      </c>
      <c r="O112" s="126">
        <f t="shared" si="9"/>
        <v>0</v>
      </c>
      <c r="P112" s="126">
        <f t="shared" si="9"/>
        <v>93610.76</v>
      </c>
      <c r="Q112" s="25"/>
    </row>
    <row r="113" spans="1:18" s="73" customFormat="1" x14ac:dyDescent="0.2">
      <c r="A113" s="127"/>
      <c r="B113" s="127"/>
      <c r="C113" s="68"/>
      <c r="D113" s="36">
        <f t="shared" si="6"/>
        <v>0</v>
      </c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2"/>
    </row>
    <row r="114" spans="1:18" x14ac:dyDescent="0.2">
      <c r="A114" s="35"/>
      <c r="B114" s="35"/>
      <c r="C114" s="60"/>
      <c r="D114" s="36">
        <f t="shared" si="6"/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8"/>
    </row>
    <row r="115" spans="1:18" x14ac:dyDescent="0.2">
      <c r="A115" s="35"/>
      <c r="B115" s="35"/>
      <c r="C115" s="60"/>
      <c r="D115" s="36">
        <f t="shared" si="6"/>
        <v>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8"/>
    </row>
    <row r="116" spans="1:18" x14ac:dyDescent="0.2">
      <c r="A116" s="35"/>
      <c r="B116" s="35"/>
      <c r="C116" s="60"/>
      <c r="D116" s="36">
        <f t="shared" si="6"/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8"/>
    </row>
    <row r="117" spans="1:18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39">
        <f t="shared" ref="E117:P117" si="10">SUM(E115:E116)</f>
        <v>0</v>
      </c>
      <c r="F117" s="39">
        <f t="shared" si="10"/>
        <v>0</v>
      </c>
      <c r="G117" s="39">
        <f t="shared" si="10"/>
        <v>0</v>
      </c>
      <c r="H117" s="39">
        <f t="shared" si="10"/>
        <v>0</v>
      </c>
      <c r="I117" s="39">
        <f t="shared" si="10"/>
        <v>0</v>
      </c>
      <c r="J117" s="39">
        <f t="shared" si="10"/>
        <v>0</v>
      </c>
      <c r="K117" s="39">
        <f t="shared" si="10"/>
        <v>0</v>
      </c>
      <c r="L117" s="39">
        <f t="shared" si="10"/>
        <v>0</v>
      </c>
      <c r="M117" s="39">
        <f t="shared" si="10"/>
        <v>0</v>
      </c>
      <c r="N117" s="39">
        <f t="shared" si="10"/>
        <v>0</v>
      </c>
      <c r="O117" s="39">
        <f t="shared" si="10"/>
        <v>0</v>
      </c>
      <c r="P117" s="39">
        <f t="shared" si="10"/>
        <v>0</v>
      </c>
      <c r="Q117" s="25"/>
      <c r="R117" s="26"/>
    </row>
    <row r="118" spans="1:18" x14ac:dyDescent="0.2">
      <c r="A118" s="35"/>
      <c r="B118" s="35"/>
      <c r="C118" s="60"/>
      <c r="D118" s="36">
        <f t="shared" si="6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35"/>
      <c r="C119" s="60"/>
      <c r="D119" s="36">
        <f t="shared" ref="D119" si="11">SUM(E119:P119)</f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2"/>
      <c r="C120" s="62" t="s">
        <v>120</v>
      </c>
      <c r="D120" s="23">
        <f t="shared" ref="D120:P120" si="12">SUM(D118:D119)</f>
        <v>0</v>
      </c>
      <c r="E120" s="39">
        <f t="shared" si="12"/>
        <v>0</v>
      </c>
      <c r="F120" s="39">
        <f t="shared" si="12"/>
        <v>0</v>
      </c>
      <c r="G120" s="39">
        <f t="shared" si="12"/>
        <v>0</v>
      </c>
      <c r="H120" s="39">
        <f t="shared" si="12"/>
        <v>0</v>
      </c>
      <c r="I120" s="39">
        <f t="shared" si="12"/>
        <v>0</v>
      </c>
      <c r="J120" s="39">
        <f t="shared" si="12"/>
        <v>0</v>
      </c>
      <c r="K120" s="39">
        <f t="shared" si="12"/>
        <v>0</v>
      </c>
      <c r="L120" s="39">
        <f t="shared" si="12"/>
        <v>0</v>
      </c>
      <c r="M120" s="39">
        <f t="shared" si="12"/>
        <v>0</v>
      </c>
      <c r="N120" s="39">
        <f t="shared" si="12"/>
        <v>0</v>
      </c>
      <c r="O120" s="39">
        <f t="shared" si="12"/>
        <v>0</v>
      </c>
      <c r="P120" s="39">
        <f t="shared" si="12"/>
        <v>0</v>
      </c>
      <c r="Q120" s="25"/>
    </row>
    <row r="121" spans="1:18" s="11" customFormat="1" ht="17.25" customHeight="1" x14ac:dyDescent="0.2">
      <c r="A121" s="188"/>
      <c r="B121" s="188"/>
      <c r="C121" s="189" t="s">
        <v>19</v>
      </c>
      <c r="D121" s="190">
        <f t="shared" ref="D121:P121" si="13">SUM(D120,D117,D112,D107,D105,D67,D28)</f>
        <v>22282958.439999998</v>
      </c>
      <c r="E121" s="191">
        <f t="shared" si="13"/>
        <v>2003204.19</v>
      </c>
      <c r="F121" s="191">
        <f t="shared" si="13"/>
        <v>1781716.83</v>
      </c>
      <c r="G121" s="191">
        <f t="shared" si="13"/>
        <v>2434187.9699999997</v>
      </c>
      <c r="H121" s="191">
        <f t="shared" si="13"/>
        <v>1942441.06</v>
      </c>
      <c r="I121" s="191">
        <f t="shared" si="13"/>
        <v>1681182.0899999999</v>
      </c>
      <c r="J121" s="191">
        <f t="shared" si="13"/>
        <v>1125445.1600000001</v>
      </c>
      <c r="K121" s="191">
        <f t="shared" si="13"/>
        <v>1354630.27</v>
      </c>
      <c r="L121" s="191">
        <f t="shared" si="13"/>
        <v>1577081.46</v>
      </c>
      <c r="M121" s="191">
        <f t="shared" si="13"/>
        <v>1611961.49</v>
      </c>
      <c r="N121" s="191">
        <f t="shared" si="13"/>
        <v>1480243.67</v>
      </c>
      <c r="O121" s="191">
        <f t="shared" si="13"/>
        <v>1474030.27</v>
      </c>
      <c r="P121" s="191">
        <f t="shared" si="13"/>
        <v>3816833.9800000009</v>
      </c>
      <c r="Q121" s="192"/>
      <c r="R121" s="26"/>
    </row>
    <row r="123" spans="1:18" x14ac:dyDescent="0.2">
      <c r="C123" s="57" t="s">
        <v>168</v>
      </c>
      <c r="D123" s="3">
        <f>'Presupuestacion estatal'!D121</f>
        <v>8380946.1900000004</v>
      </c>
    </row>
    <row r="124" spans="1:18" x14ac:dyDescent="0.2">
      <c r="C124" s="57" t="s">
        <v>169</v>
      </c>
      <c r="D124" s="3">
        <f>'Presupuestacion federal'!D121</f>
        <v>8088899.5300000003</v>
      </c>
    </row>
    <row r="125" spans="1:18" x14ac:dyDescent="0.2">
      <c r="C125" s="57" t="s">
        <v>126</v>
      </c>
      <c r="D125" s="3">
        <f>'calculo de ingresos propios'!D121</f>
        <v>1168110.76</v>
      </c>
    </row>
    <row r="126" spans="1:18" x14ac:dyDescent="0.2">
      <c r="C126" s="57" t="s">
        <v>127</v>
      </c>
      <c r="D126" s="3">
        <f>'remanentes 2012'!D121</f>
        <v>4566228.83</v>
      </c>
    </row>
    <row r="127" spans="1:18" x14ac:dyDescent="0.2">
      <c r="C127" s="57" t="s">
        <v>238</v>
      </c>
      <c r="D127" s="3">
        <f>COECYTJAL!D121</f>
        <v>78773.12999999999</v>
      </c>
    </row>
    <row r="128" spans="1:18" x14ac:dyDescent="0.2">
      <c r="C128" s="135" t="s">
        <v>264</v>
      </c>
      <c r="D128" s="16">
        <f>SUM(D123:D127)</f>
        <v>22282958.440000001</v>
      </c>
    </row>
    <row r="129" spans="3:12" ht="48.75" customHeight="1" x14ac:dyDescent="0.2">
      <c r="C129" s="118" t="s">
        <v>129</v>
      </c>
      <c r="E129" s="44"/>
      <c r="G129" s="1" t="s">
        <v>131</v>
      </c>
      <c r="L129" s="1" t="s">
        <v>133</v>
      </c>
    </row>
    <row r="130" spans="3:12" x14ac:dyDescent="0.2">
      <c r="C130" s="118" t="s">
        <v>130</v>
      </c>
      <c r="G130" s="1" t="s">
        <v>132</v>
      </c>
      <c r="L130" s="1" t="s">
        <v>134</v>
      </c>
    </row>
    <row r="133" spans="3:12" x14ac:dyDescent="0.2">
      <c r="C133" s="144"/>
      <c r="D133" s="145"/>
      <c r="E133" s="14"/>
    </row>
    <row r="134" spans="3:12" x14ac:dyDescent="0.2">
      <c r="C134" s="144"/>
      <c r="D134" s="145"/>
      <c r="E134" s="14"/>
    </row>
    <row r="135" spans="3:12" x14ac:dyDescent="0.2">
      <c r="C135" s="144"/>
      <c r="D135" s="145"/>
      <c r="E135" s="14"/>
    </row>
    <row r="136" spans="3:12" x14ac:dyDescent="0.2">
      <c r="C136" s="144"/>
      <c r="D136" s="145"/>
      <c r="E136" s="14"/>
      <c r="G136" s="42"/>
    </row>
    <row r="137" spans="3:12" x14ac:dyDescent="0.2">
      <c r="C137" s="144"/>
      <c r="D137" s="145"/>
      <c r="E137" s="14"/>
      <c r="G137" s="42"/>
    </row>
    <row r="138" spans="3:12" x14ac:dyDescent="0.2">
      <c r="C138" s="144"/>
      <c r="D138" s="145"/>
      <c r="E138" s="14"/>
    </row>
    <row r="139" spans="3:12" x14ac:dyDescent="0.2">
      <c r="C139" s="144"/>
      <c r="D139" s="145"/>
      <c r="E139" s="14"/>
      <c r="G139" s="44"/>
    </row>
    <row r="140" spans="3:12" x14ac:dyDescent="0.2">
      <c r="C140" s="144"/>
      <c r="D140" s="145"/>
      <c r="E140" s="14"/>
      <c r="F140" s="44"/>
      <c r="G140" s="44"/>
      <c r="H140" s="44"/>
      <c r="I140" s="44"/>
    </row>
    <row r="141" spans="3:12" x14ac:dyDescent="0.2">
      <c r="C141" s="144"/>
      <c r="D141" s="145"/>
      <c r="E141" s="14"/>
    </row>
    <row r="142" spans="3:12" x14ac:dyDescent="0.2">
      <c r="C142" s="144"/>
      <c r="D142" s="145"/>
      <c r="E142" s="14"/>
    </row>
    <row r="143" spans="3:12" x14ac:dyDescent="0.2">
      <c r="C143" s="144"/>
      <c r="D143" s="145"/>
      <c r="E143" s="14"/>
    </row>
    <row r="144" spans="3:12" x14ac:dyDescent="0.2">
      <c r="C144" s="144"/>
      <c r="D144" s="145"/>
      <c r="E144" s="14"/>
      <c r="F144" s="44"/>
    </row>
    <row r="146" spans="9:13" x14ac:dyDescent="0.2">
      <c r="I146" s="42"/>
      <c r="J146" s="45"/>
      <c r="K146" s="44"/>
      <c r="L146" s="44"/>
      <c r="M146" s="44"/>
    </row>
    <row r="147" spans="9:13" x14ac:dyDescent="0.2">
      <c r="I147" s="42"/>
      <c r="J147" s="45"/>
      <c r="K147" s="44"/>
      <c r="L147" s="44"/>
      <c r="M147" s="44"/>
    </row>
    <row r="148" spans="9:13" x14ac:dyDescent="0.2">
      <c r="I148" s="42"/>
      <c r="J148" s="45"/>
      <c r="K148" s="44"/>
      <c r="L148" s="44"/>
      <c r="M148" s="44"/>
    </row>
    <row r="149" spans="9:13" x14ac:dyDescent="0.2">
      <c r="I149" s="42"/>
      <c r="J149" s="45"/>
      <c r="K149" s="44"/>
      <c r="L149" s="44"/>
      <c r="M149" s="44"/>
    </row>
    <row r="150" spans="9:13" x14ac:dyDescent="0.2">
      <c r="I150" s="42"/>
      <c r="J150" s="45"/>
      <c r="K150" s="44"/>
      <c r="L150" s="44"/>
      <c r="M150" s="44"/>
    </row>
    <row r="151" spans="9:13" x14ac:dyDescent="0.2">
      <c r="I151" s="42"/>
      <c r="J151" s="45"/>
      <c r="K151" s="44"/>
      <c r="L151" s="44"/>
      <c r="M151" s="44"/>
    </row>
    <row r="152" spans="9:13" x14ac:dyDescent="0.2">
      <c r="I152" s="42"/>
      <c r="J152" s="45"/>
      <c r="K152" s="44"/>
      <c r="L152" s="44"/>
      <c r="M152" s="44"/>
    </row>
    <row r="153" spans="9:13" x14ac:dyDescent="0.2">
      <c r="I153" s="42"/>
      <c r="J153" s="45"/>
      <c r="K153" s="44"/>
      <c r="L153" s="44"/>
      <c r="M153" s="44"/>
    </row>
    <row r="154" spans="9:13" x14ac:dyDescent="0.2">
      <c r="I154" s="42"/>
      <c r="J154" s="45"/>
      <c r="K154" s="44"/>
      <c r="L154" s="44"/>
      <c r="M154" s="44"/>
    </row>
    <row r="155" spans="9:13" x14ac:dyDescent="0.2">
      <c r="I155" s="42"/>
      <c r="J155" s="45"/>
      <c r="K155" s="44"/>
      <c r="L155" s="44"/>
      <c r="M155" s="44"/>
    </row>
    <row r="156" spans="9:13" x14ac:dyDescent="0.2">
      <c r="I156" s="42"/>
      <c r="J156" s="45"/>
      <c r="K156" s="44"/>
      <c r="L156" s="44"/>
      <c r="M156" s="44"/>
    </row>
    <row r="157" spans="9:13" x14ac:dyDescent="0.2">
      <c r="I157" s="42"/>
      <c r="J157" s="45"/>
      <c r="K157" s="44"/>
      <c r="L157" s="44"/>
      <c r="M157" s="44"/>
    </row>
    <row r="158" spans="9:13" x14ac:dyDescent="0.2">
      <c r="I158" s="42"/>
      <c r="J158" s="45"/>
      <c r="K158" s="44"/>
      <c r="L158" s="44"/>
      <c r="M158" s="44"/>
    </row>
    <row r="159" spans="9:13" x14ac:dyDescent="0.2">
      <c r="I159" s="42"/>
      <c r="J159" s="45"/>
      <c r="K159" s="44"/>
      <c r="L159" s="44"/>
      <c r="M159" s="44"/>
    </row>
    <row r="162" spans="9:12" x14ac:dyDescent="0.2">
      <c r="I162" s="44"/>
      <c r="J162" s="45"/>
      <c r="K162" s="44"/>
      <c r="L162" s="44"/>
    </row>
  </sheetData>
  <mergeCells count="16">
    <mergeCell ref="K7:Q7"/>
    <mergeCell ref="K8:Q8"/>
    <mergeCell ref="R13:R27"/>
    <mergeCell ref="A107:C107"/>
    <mergeCell ref="C6:J8"/>
    <mergeCell ref="A11:A12"/>
    <mergeCell ref="C11:C12"/>
    <mergeCell ref="D11:D12"/>
    <mergeCell ref="E11:P11"/>
    <mergeCell ref="Q11:Q12"/>
    <mergeCell ref="K9:Q9"/>
    <mergeCell ref="K1:Q1"/>
    <mergeCell ref="K2:Q2"/>
    <mergeCell ref="K4:Q4"/>
    <mergeCell ref="K5:Q5"/>
    <mergeCell ref="K6:Q6"/>
  </mergeCells>
  <printOptions horizontalCentered="1" verticalCentered="1"/>
  <pageMargins left="0.43307086614173229" right="0.39370078740157483" top="0.31496062992125984" bottom="0.39370078740157483" header="0" footer="0"/>
  <pageSetup paperSize="5" scale="50" orientation="landscape" horizontalDpi="200" verticalDpi="200" r:id="rId1"/>
  <headerFooter alignWithMargins="0">
    <oddFooter>Página &amp;P de &amp;N</oddFooter>
  </headerFooter>
  <rowBreaks count="1" manualBreakCount="1">
    <brk id="67" max="16" man="1"/>
  </rowBreaks>
  <colBreaks count="1" manualBreakCount="1">
    <brk id="17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topLeftCell="E1" zoomScale="60" zoomScaleNormal="60" workbookViewId="0">
      <selection activeCell="P27" sqref="P27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6.85546875" style="2" customWidth="1"/>
    <col min="6" max="6" width="14.7109375" style="2" customWidth="1"/>
    <col min="7" max="7" width="13.42578125" style="2" customWidth="1"/>
    <col min="8" max="8" width="13.140625" style="2" customWidth="1"/>
    <col min="9" max="10" width="13.28515625" style="2" customWidth="1"/>
    <col min="11" max="15" width="13.42578125" style="2" customWidth="1"/>
    <col min="16" max="16" width="17.140625" style="2" customWidth="1"/>
    <col min="17" max="17" width="55.7109375" style="43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200</v>
      </c>
      <c r="V1" s="7"/>
      <c r="W1" s="7"/>
    </row>
    <row r="2" spans="1:23" ht="27" customHeight="1" x14ac:dyDescent="0.2">
      <c r="A2" s="8"/>
      <c r="B2"/>
      <c r="C2" s="58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135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9"/>
      <c r="D4" s="12"/>
      <c r="E4" s="11"/>
      <c r="F4" s="11"/>
      <c r="G4" s="11"/>
      <c r="H4" s="11"/>
      <c r="I4" s="11"/>
      <c r="J4" s="11"/>
      <c r="K4" s="11"/>
      <c r="M4" s="485" t="s">
        <v>198</v>
      </c>
      <c r="N4" s="485"/>
      <c r="O4" s="485"/>
      <c r="P4" s="485"/>
      <c r="Q4" s="485"/>
      <c r="V4" s="7"/>
      <c r="W4" s="7"/>
    </row>
    <row r="5" spans="1:23" ht="12.75" customHeight="1" x14ac:dyDescent="0.2">
      <c r="A5" s="11"/>
      <c r="B5" s="11"/>
      <c r="C5" s="59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476" t="s">
        <v>255</v>
      </c>
      <c r="D6" s="477"/>
      <c r="E6" s="477"/>
      <c r="F6" s="477"/>
      <c r="G6" s="477"/>
      <c r="H6" s="477"/>
      <c r="I6" s="477"/>
      <c r="J6" s="477"/>
      <c r="K6" s="11"/>
      <c r="M6" s="485" t="s">
        <v>23</v>
      </c>
      <c r="N6" s="485"/>
      <c r="O6" s="485"/>
      <c r="P6" s="485"/>
      <c r="Q6" s="485"/>
      <c r="V6" s="7"/>
      <c r="W6" s="7"/>
    </row>
    <row r="7" spans="1:23" ht="12.75" customHeight="1" x14ac:dyDescent="0.2">
      <c r="A7" s="11"/>
      <c r="B7" s="11"/>
      <c r="C7" s="477"/>
      <c r="D7" s="477"/>
      <c r="E7" s="477"/>
      <c r="F7" s="477"/>
      <c r="G7" s="477"/>
      <c r="H7" s="477"/>
      <c r="I7" s="477"/>
      <c r="J7" s="477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477"/>
      <c r="D8" s="477"/>
      <c r="E8" s="477"/>
      <c r="F8" s="477"/>
      <c r="G8" s="477"/>
      <c r="H8" s="477"/>
      <c r="I8" s="477"/>
      <c r="J8" s="477"/>
      <c r="K8" s="11"/>
      <c r="M8" s="485" t="s">
        <v>24</v>
      </c>
      <c r="N8" s="485"/>
      <c r="O8" s="485"/>
      <c r="P8" s="485"/>
      <c r="Q8" s="485"/>
      <c r="V8" s="7"/>
      <c r="W8" s="7"/>
    </row>
    <row r="9" spans="1:23" s="14" customFormat="1" ht="12.75" customHeight="1" x14ac:dyDescent="0.2">
      <c r="A9" s="11"/>
      <c r="B9" s="11"/>
      <c r="C9" s="59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479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ht="22.5" x14ac:dyDescent="0.2">
      <c r="A13" s="53">
        <v>1131</v>
      </c>
      <c r="B13" s="19"/>
      <c r="C13" s="52" t="s">
        <v>28</v>
      </c>
      <c r="D13" s="61">
        <f>SUM(E13:P13)</f>
        <v>2611214.58</v>
      </c>
      <c r="E13" s="20">
        <f>210310.95</f>
        <v>210310.95</v>
      </c>
      <c r="F13" s="20">
        <v>210310.93</v>
      </c>
      <c r="G13" s="20">
        <v>210310.93</v>
      </c>
      <c r="H13" s="20">
        <v>210310.93</v>
      </c>
      <c r="I13" s="20">
        <v>210310.93</v>
      </c>
      <c r="J13" s="20">
        <v>210310.93</v>
      </c>
      <c r="K13" s="20">
        <v>210310.93</v>
      </c>
      <c r="L13" s="20">
        <v>210310.93</v>
      </c>
      <c r="M13" s="20">
        <v>210310.93</v>
      </c>
      <c r="N13" s="20">
        <v>210310.93</v>
      </c>
      <c r="O13" s="20">
        <v>210310.93</v>
      </c>
      <c r="P13" s="20">
        <f>210310.93+87483.4</f>
        <v>297794.32999999996</v>
      </c>
      <c r="Q13" s="184" t="s">
        <v>216</v>
      </c>
      <c r="R13" s="472"/>
    </row>
    <row r="14" spans="1:23" s="21" customFormat="1" x14ac:dyDescent="0.2">
      <c r="A14" s="53">
        <v>1211</v>
      </c>
      <c r="B14" s="19"/>
      <c r="C14" s="52" t="s">
        <v>29</v>
      </c>
      <c r="D14" s="61">
        <f t="shared" ref="D14:D27" si="0">SUM(E14:P14)</f>
        <v>1357118.85</v>
      </c>
      <c r="E14" s="20">
        <v>101154.56</v>
      </c>
      <c r="F14" s="20">
        <v>101154.56</v>
      </c>
      <c r="G14" s="20">
        <v>101154.56</v>
      </c>
      <c r="H14" s="20">
        <v>101154.56</v>
      </c>
      <c r="I14" s="20">
        <v>101154.56</v>
      </c>
      <c r="J14" s="20">
        <v>101154.56</v>
      </c>
      <c r="K14" s="20">
        <v>101154.56</v>
      </c>
      <c r="L14" s="20">
        <v>101154.56</v>
      </c>
      <c r="M14" s="20">
        <v>101154.56</v>
      </c>
      <c r="N14" s="20">
        <v>101154.56</v>
      </c>
      <c r="O14" s="20">
        <v>101154.56</v>
      </c>
      <c r="P14" s="20">
        <f>101154.56+143264.13</f>
        <v>244418.69</v>
      </c>
      <c r="Q14" s="47" t="s">
        <v>197</v>
      </c>
      <c r="R14" s="472"/>
    </row>
    <row r="15" spans="1:23" s="21" customFormat="1" ht="24" x14ac:dyDescent="0.2">
      <c r="A15" s="53">
        <v>1311</v>
      </c>
      <c r="B15" s="19"/>
      <c r="C15" s="52" t="s">
        <v>30</v>
      </c>
      <c r="D15" s="61">
        <f t="shared" si="0"/>
        <v>218863.83999999997</v>
      </c>
      <c r="E15" s="20">
        <v>18238.689999999999</v>
      </c>
      <c r="F15" s="20">
        <v>18238.650000000001</v>
      </c>
      <c r="G15" s="20">
        <v>18238.650000000001</v>
      </c>
      <c r="H15" s="20">
        <v>18238.650000000001</v>
      </c>
      <c r="I15" s="20">
        <v>18238.650000000001</v>
      </c>
      <c r="J15" s="20">
        <v>18238.650000000001</v>
      </c>
      <c r="K15" s="20">
        <v>18238.650000000001</v>
      </c>
      <c r="L15" s="20">
        <v>18238.650000000001</v>
      </c>
      <c r="M15" s="20">
        <v>18238.650000000001</v>
      </c>
      <c r="N15" s="20">
        <v>18238.650000000001</v>
      </c>
      <c r="O15" s="20">
        <v>18238.650000000001</v>
      </c>
      <c r="P15" s="20">
        <v>18238.650000000001</v>
      </c>
      <c r="Q15" s="47" t="s">
        <v>201</v>
      </c>
      <c r="R15" s="472"/>
    </row>
    <row r="16" spans="1:23" s="21" customFormat="1" x14ac:dyDescent="0.2">
      <c r="A16" s="53">
        <v>1321</v>
      </c>
      <c r="B16" s="19"/>
      <c r="C16" s="52" t="s">
        <v>31</v>
      </c>
      <c r="D16" s="61">
        <f t="shared" si="0"/>
        <v>249172.38999999996</v>
      </c>
      <c r="E16" s="20">
        <v>20764.32</v>
      </c>
      <c r="F16" s="20">
        <v>20764.37</v>
      </c>
      <c r="G16" s="20">
        <v>20764.37</v>
      </c>
      <c r="H16" s="20">
        <v>20764.37</v>
      </c>
      <c r="I16" s="20">
        <v>20764.37</v>
      </c>
      <c r="J16" s="20">
        <v>20764.37</v>
      </c>
      <c r="K16" s="20">
        <v>20764.37</v>
      </c>
      <c r="L16" s="20">
        <v>20764.37</v>
      </c>
      <c r="M16" s="20">
        <v>20764.37</v>
      </c>
      <c r="N16" s="20">
        <v>20764.37</v>
      </c>
      <c r="O16" s="20">
        <v>20764.37</v>
      </c>
      <c r="P16" s="20">
        <v>20764.37</v>
      </c>
      <c r="Q16" s="47"/>
      <c r="R16" s="472"/>
    </row>
    <row r="17" spans="1:20" s="21" customFormat="1" x14ac:dyDescent="0.2">
      <c r="A17" s="53">
        <v>1322</v>
      </c>
      <c r="B17" s="19"/>
      <c r="C17" s="52" t="s">
        <v>32</v>
      </c>
      <c r="D17" s="61">
        <f>SUM(E17:P17)</f>
        <v>627333.98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>
        <f>415287.32+212046.66</f>
        <v>627333.98</v>
      </c>
      <c r="Q17" s="47"/>
      <c r="R17" s="472"/>
    </row>
    <row r="18" spans="1:20" s="21" customFormat="1" x14ac:dyDescent="0.2">
      <c r="A18" s="53">
        <v>1343</v>
      </c>
      <c r="B18" s="19"/>
      <c r="C18" s="52" t="s">
        <v>33</v>
      </c>
      <c r="D18" s="61">
        <f t="shared" si="0"/>
        <v>40734.720000000001</v>
      </c>
      <c r="E18" s="20">
        <v>3394.56</v>
      </c>
      <c r="F18" s="20">
        <v>3394.56</v>
      </c>
      <c r="G18" s="20">
        <v>3394.56</v>
      </c>
      <c r="H18" s="20">
        <v>3394.56</v>
      </c>
      <c r="I18" s="20">
        <v>3394.56</v>
      </c>
      <c r="J18" s="20">
        <v>3394.56</v>
      </c>
      <c r="K18" s="20">
        <v>3394.56</v>
      </c>
      <c r="L18" s="20">
        <v>3394.56</v>
      </c>
      <c r="M18" s="20">
        <v>3394.56</v>
      </c>
      <c r="N18" s="20">
        <v>3394.56</v>
      </c>
      <c r="O18" s="20">
        <v>3394.56</v>
      </c>
      <c r="P18" s="20">
        <v>3394.56</v>
      </c>
      <c r="Q18" s="47"/>
      <c r="R18" s="472"/>
    </row>
    <row r="19" spans="1:20" s="21" customFormat="1" ht="24" x14ac:dyDescent="0.2">
      <c r="A19" s="53">
        <v>1411</v>
      </c>
      <c r="B19" s="19"/>
      <c r="C19" s="52" t="s">
        <v>34</v>
      </c>
      <c r="D19" s="61">
        <f t="shared" si="0"/>
        <v>322592.27999999997</v>
      </c>
      <c r="E19" s="20">
        <v>26882.69</v>
      </c>
      <c r="F19" s="20">
        <v>26882.69</v>
      </c>
      <c r="G19" s="20">
        <v>26882.69</v>
      </c>
      <c r="H19" s="20">
        <v>26882.69</v>
      </c>
      <c r="I19" s="20">
        <v>26882.69</v>
      </c>
      <c r="J19" s="20">
        <v>26882.69</v>
      </c>
      <c r="K19" s="20">
        <v>26882.69</v>
      </c>
      <c r="L19" s="20">
        <v>26882.69</v>
      </c>
      <c r="M19" s="20">
        <v>26882.69</v>
      </c>
      <c r="N19" s="20">
        <v>26882.69</v>
      </c>
      <c r="O19" s="20">
        <v>26882.69</v>
      </c>
      <c r="P19" s="20">
        <v>26882.69</v>
      </c>
      <c r="Q19" s="47"/>
      <c r="R19" s="472"/>
    </row>
    <row r="20" spans="1:20" s="21" customFormat="1" x14ac:dyDescent="0.2">
      <c r="A20" s="53">
        <v>1421</v>
      </c>
      <c r="B20" s="19"/>
      <c r="C20" s="52" t="s">
        <v>35</v>
      </c>
      <c r="D20" s="61">
        <f t="shared" si="0"/>
        <v>112127.57999999996</v>
      </c>
      <c r="E20" s="20">
        <v>9343.9699999999993</v>
      </c>
      <c r="F20" s="20">
        <v>9343.92</v>
      </c>
      <c r="G20" s="20">
        <v>9343.99</v>
      </c>
      <c r="H20" s="20">
        <v>9343.99</v>
      </c>
      <c r="I20" s="20">
        <v>9343.99</v>
      </c>
      <c r="J20" s="20">
        <v>9343.9599999999991</v>
      </c>
      <c r="K20" s="20">
        <v>9343.9599999999991</v>
      </c>
      <c r="L20" s="20">
        <v>9343.9599999999991</v>
      </c>
      <c r="M20" s="20">
        <v>9343.9599999999991</v>
      </c>
      <c r="N20" s="20">
        <v>9343.9599999999991</v>
      </c>
      <c r="O20" s="20">
        <v>9343.9599999999991</v>
      </c>
      <c r="P20" s="20">
        <v>9343.9599999999991</v>
      </c>
      <c r="Q20" s="47"/>
      <c r="R20" s="472"/>
    </row>
    <row r="21" spans="1:20" s="21" customFormat="1" x14ac:dyDescent="0.2">
      <c r="A21" s="53">
        <v>1431</v>
      </c>
      <c r="B21" s="19"/>
      <c r="C21" s="52" t="s">
        <v>36</v>
      </c>
      <c r="D21" s="61">
        <f t="shared" si="0"/>
        <v>392446.52</v>
      </c>
      <c r="E21" s="20">
        <v>32703.84</v>
      </c>
      <c r="F21" s="20">
        <v>32703.88</v>
      </c>
      <c r="G21" s="20">
        <v>32703.88</v>
      </c>
      <c r="H21" s="20">
        <v>32703.88</v>
      </c>
      <c r="I21" s="20">
        <v>32703.88</v>
      </c>
      <c r="J21" s="20">
        <v>32703.88</v>
      </c>
      <c r="K21" s="20">
        <v>32703.88</v>
      </c>
      <c r="L21" s="20">
        <v>32703.88</v>
      </c>
      <c r="M21" s="20">
        <v>32703.88</v>
      </c>
      <c r="N21" s="20">
        <v>32703.88</v>
      </c>
      <c r="O21" s="20">
        <v>32703.88</v>
      </c>
      <c r="P21" s="20">
        <v>32703.88</v>
      </c>
      <c r="Q21" s="47"/>
      <c r="R21" s="472"/>
    </row>
    <row r="22" spans="1:20" s="21" customFormat="1" ht="24" x14ac:dyDescent="0.2">
      <c r="A22" s="53">
        <v>1432</v>
      </c>
      <c r="B22" s="19"/>
      <c r="C22" s="52" t="s">
        <v>37</v>
      </c>
      <c r="D22" s="61">
        <f t="shared" si="0"/>
        <v>74751.719999999987</v>
      </c>
      <c r="E22" s="20">
        <v>6229.31</v>
      </c>
      <c r="F22" s="20">
        <v>6229.31</v>
      </c>
      <c r="G22" s="20">
        <v>6229.31</v>
      </c>
      <c r="H22" s="20">
        <v>6229.31</v>
      </c>
      <c r="I22" s="20">
        <v>6229.31</v>
      </c>
      <c r="J22" s="20">
        <v>6229.31</v>
      </c>
      <c r="K22" s="20">
        <v>6229.31</v>
      </c>
      <c r="L22" s="20">
        <v>6229.31</v>
      </c>
      <c r="M22" s="20">
        <v>6229.31</v>
      </c>
      <c r="N22" s="20">
        <v>6229.31</v>
      </c>
      <c r="O22" s="20">
        <v>6229.31</v>
      </c>
      <c r="P22" s="20">
        <v>6229.31</v>
      </c>
      <c r="Q22" s="47"/>
      <c r="R22" s="472"/>
    </row>
    <row r="23" spans="1:20" s="21" customFormat="1" x14ac:dyDescent="0.2">
      <c r="A23" s="53">
        <v>1543</v>
      </c>
      <c r="B23" s="19"/>
      <c r="C23" s="52" t="s">
        <v>38</v>
      </c>
      <c r="D23" s="61">
        <f t="shared" si="0"/>
        <v>151458</v>
      </c>
      <c r="E23" s="20">
        <v>12621.5</v>
      </c>
      <c r="F23" s="20">
        <v>12621.5</v>
      </c>
      <c r="G23" s="20">
        <v>12621.5</v>
      </c>
      <c r="H23" s="20">
        <v>12621.5</v>
      </c>
      <c r="I23" s="20">
        <v>12621.5</v>
      </c>
      <c r="J23" s="20">
        <v>12621.5</v>
      </c>
      <c r="K23" s="20">
        <v>12621.5</v>
      </c>
      <c r="L23" s="20">
        <v>12621.5</v>
      </c>
      <c r="M23" s="20">
        <v>12621.5</v>
      </c>
      <c r="N23" s="20">
        <v>12621.5</v>
      </c>
      <c r="O23" s="20">
        <v>12621.5</v>
      </c>
      <c r="P23" s="20">
        <v>12621.5</v>
      </c>
      <c r="Q23" s="47"/>
      <c r="R23" s="472"/>
    </row>
    <row r="24" spans="1:20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7"/>
      <c r="R24" s="472"/>
    </row>
    <row r="25" spans="1:20" s="21" customFormat="1" x14ac:dyDescent="0.2">
      <c r="A25" s="53">
        <v>1715</v>
      </c>
      <c r="B25" s="19"/>
      <c r="C25" s="52" t="s">
        <v>39</v>
      </c>
      <c r="D25" s="61">
        <f t="shared" si="0"/>
        <v>193931.22</v>
      </c>
      <c r="E25" s="121"/>
      <c r="F25" s="121"/>
      <c r="G25" s="121"/>
      <c r="H25" s="121"/>
      <c r="I25" s="121"/>
      <c r="J25" s="121"/>
      <c r="K25" s="121"/>
      <c r="L25" s="121"/>
      <c r="M25" s="20">
        <v>193931.22</v>
      </c>
      <c r="N25" s="121"/>
      <c r="O25" s="121"/>
      <c r="P25" s="121"/>
      <c r="Q25" s="47"/>
      <c r="R25" s="472"/>
    </row>
    <row r="26" spans="1:20" s="21" customFormat="1" x14ac:dyDescent="0.2">
      <c r="A26" s="53">
        <v>1719</v>
      </c>
      <c r="B26" s="19"/>
      <c r="C26" s="52" t="s">
        <v>40</v>
      </c>
      <c r="D26" s="61">
        <f t="shared" si="0"/>
        <v>404983.2</v>
      </c>
      <c r="E26" s="20">
        <f>24709.59+16032</f>
        <v>40741.589999999997</v>
      </c>
      <c r="F26" s="20">
        <v>24709.63</v>
      </c>
      <c r="G26" s="20">
        <v>24709.63</v>
      </c>
      <c r="H26" s="20">
        <v>24709.63</v>
      </c>
      <c r="I26" s="20">
        <v>24709.63</v>
      </c>
      <c r="J26" s="20">
        <v>24709.63</v>
      </c>
      <c r="K26" s="20">
        <v>24709.63</v>
      </c>
      <c r="L26" s="20">
        <v>24709.63</v>
      </c>
      <c r="M26" s="20">
        <v>24709.63</v>
      </c>
      <c r="N26" s="20">
        <v>24709.63</v>
      </c>
      <c r="O26" s="20">
        <v>24709.63</v>
      </c>
      <c r="P26" s="20">
        <f>24709.63+92435.68</f>
        <v>117145.31</v>
      </c>
      <c r="Q26" s="47"/>
      <c r="R26" s="472"/>
    </row>
    <row r="27" spans="1:20" s="21" customFormat="1" x14ac:dyDescent="0.2">
      <c r="A27" s="53">
        <v>1712</v>
      </c>
      <c r="B27" s="19"/>
      <c r="C27" s="52" t="s">
        <v>41</v>
      </c>
      <c r="D27" s="61">
        <f t="shared" si="0"/>
        <v>270582.53000000003</v>
      </c>
      <c r="E27" s="20">
        <f>20668.59+22560</f>
        <v>43228.59</v>
      </c>
      <c r="F27" s="20">
        <v>20668.54</v>
      </c>
      <c r="G27" s="20">
        <v>20668.54</v>
      </c>
      <c r="H27" s="20">
        <v>20668.54</v>
      </c>
      <c r="I27" s="20">
        <v>20668.54</v>
      </c>
      <c r="J27" s="20">
        <v>20668.54</v>
      </c>
      <c r="K27" s="20">
        <v>20668.54</v>
      </c>
      <c r="L27" s="20">
        <v>20668.54</v>
      </c>
      <c r="M27" s="20">
        <v>20668.54</v>
      </c>
      <c r="N27" s="20">
        <v>20668.54</v>
      </c>
      <c r="O27" s="20">
        <v>20668.54</v>
      </c>
      <c r="P27" s="20">
        <v>20668.54</v>
      </c>
      <c r="Q27" s="47"/>
      <c r="R27" s="472"/>
    </row>
    <row r="28" spans="1:20" s="11" customFormat="1" ht="25.5" x14ac:dyDescent="0.2">
      <c r="A28" s="22"/>
      <c r="B28" s="22"/>
      <c r="C28" s="62" t="s">
        <v>16</v>
      </c>
      <c r="D28" s="65">
        <f t="shared" ref="D28:P28" si="1">SUM(D13:D27)</f>
        <v>7027311.4100000001</v>
      </c>
      <c r="E28" s="24">
        <f t="shared" si="1"/>
        <v>525614.56999999995</v>
      </c>
      <c r="F28" s="24">
        <f t="shared" si="1"/>
        <v>487022.54</v>
      </c>
      <c r="G28" s="24">
        <f t="shared" si="1"/>
        <v>487022.61</v>
      </c>
      <c r="H28" s="24">
        <f t="shared" si="1"/>
        <v>487022.61</v>
      </c>
      <c r="I28" s="24">
        <f t="shared" si="1"/>
        <v>487022.61</v>
      </c>
      <c r="J28" s="24">
        <f t="shared" si="1"/>
        <v>487022.58</v>
      </c>
      <c r="K28" s="24">
        <f t="shared" si="1"/>
        <v>487022.58</v>
      </c>
      <c r="L28" s="24">
        <f t="shared" si="1"/>
        <v>487022.58</v>
      </c>
      <c r="M28" s="24">
        <f t="shared" si="1"/>
        <v>680953.8</v>
      </c>
      <c r="N28" s="24">
        <f t="shared" si="1"/>
        <v>487022.58</v>
      </c>
      <c r="O28" s="24">
        <f t="shared" si="1"/>
        <v>487022.58</v>
      </c>
      <c r="P28" s="24">
        <f t="shared" si="1"/>
        <v>1437539.77</v>
      </c>
      <c r="Q28" s="25"/>
      <c r="R28" s="26"/>
      <c r="T28" s="46"/>
    </row>
    <row r="29" spans="1:20" s="21" customFormat="1" ht="24" x14ac:dyDescent="0.2">
      <c r="A29" s="54">
        <v>2111</v>
      </c>
      <c r="B29" s="64"/>
      <c r="C29" s="49" t="s">
        <v>42</v>
      </c>
      <c r="D29" s="61">
        <f t="shared" ref="D29:D92" si="2">SUM(E29:P29)</f>
        <v>40000</v>
      </c>
      <c r="E29" s="28">
        <v>10000</v>
      </c>
      <c r="F29" s="29"/>
      <c r="G29" s="29"/>
      <c r="H29" s="29"/>
      <c r="I29" s="28">
        <v>10000</v>
      </c>
      <c r="J29" s="29"/>
      <c r="K29" s="29"/>
      <c r="L29" s="28">
        <v>10000</v>
      </c>
      <c r="M29" s="29"/>
      <c r="N29" s="28">
        <v>10000</v>
      </c>
      <c r="O29" s="29"/>
      <c r="P29" s="29"/>
      <c r="Q29" s="30"/>
    </row>
    <row r="30" spans="1:20" s="21" customFormat="1" ht="24" x14ac:dyDescent="0.2">
      <c r="A30" s="54">
        <v>2121</v>
      </c>
      <c r="B30" s="64"/>
      <c r="C30" s="49" t="s">
        <v>123</v>
      </c>
      <c r="D30" s="61">
        <f t="shared" si="2"/>
        <v>4500</v>
      </c>
      <c r="E30" s="28"/>
      <c r="F30" s="29">
        <v>1000</v>
      </c>
      <c r="G30" s="29"/>
      <c r="H30" s="29"/>
      <c r="I30" s="29">
        <v>1000</v>
      </c>
      <c r="J30" s="29"/>
      <c r="K30" s="29"/>
      <c r="L30" s="29">
        <v>2500</v>
      </c>
      <c r="M30" s="29"/>
      <c r="N30" s="29"/>
      <c r="O30" s="29"/>
      <c r="P30" s="29"/>
      <c r="Q30" s="30"/>
    </row>
    <row r="31" spans="1:20" s="21" customFormat="1" ht="36" x14ac:dyDescent="0.2">
      <c r="A31" s="54">
        <v>2141</v>
      </c>
      <c r="B31" s="64"/>
      <c r="C31" s="49" t="s">
        <v>43</v>
      </c>
      <c r="D31" s="61">
        <f t="shared" si="2"/>
        <v>43000</v>
      </c>
      <c r="E31" s="28">
        <v>20000</v>
      </c>
      <c r="F31" s="28"/>
      <c r="G31" s="28">
        <v>5600</v>
      </c>
      <c r="H31" s="28"/>
      <c r="I31" s="28">
        <v>5800</v>
      </c>
      <c r="J31" s="28"/>
      <c r="K31" s="28">
        <v>5800</v>
      </c>
      <c r="L31" s="28"/>
      <c r="M31" s="28"/>
      <c r="N31" s="28">
        <v>5800</v>
      </c>
      <c r="O31" s="28"/>
      <c r="P31" s="28"/>
      <c r="Q31" s="30"/>
    </row>
    <row r="32" spans="1:20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1:17" s="21" customFormat="1" ht="14.25" x14ac:dyDescent="0.2">
      <c r="A33" s="54">
        <v>2161</v>
      </c>
      <c r="B33" s="64"/>
      <c r="C33" s="49" t="s">
        <v>45</v>
      </c>
      <c r="D33" s="61">
        <f t="shared" si="2"/>
        <v>30000</v>
      </c>
      <c r="E33" s="28">
        <v>2500</v>
      </c>
      <c r="F33" s="29"/>
      <c r="G33" s="28">
        <v>2500</v>
      </c>
      <c r="H33" s="29">
        <v>3000</v>
      </c>
      <c r="I33" s="28">
        <v>2500</v>
      </c>
      <c r="J33" s="29">
        <v>3000</v>
      </c>
      <c r="K33" s="28">
        <v>2500</v>
      </c>
      <c r="L33" s="29">
        <v>3000</v>
      </c>
      <c r="M33" s="28">
        <v>2500</v>
      </c>
      <c r="N33" s="29">
        <v>3000</v>
      </c>
      <c r="O33" s="28">
        <v>2500</v>
      </c>
      <c r="P33" s="29">
        <v>3000</v>
      </c>
      <c r="Q33" s="30"/>
    </row>
    <row r="34" spans="1:17" s="21" customFormat="1" ht="14.25" x14ac:dyDescent="0.2">
      <c r="A34" s="54">
        <v>2171</v>
      </c>
      <c r="B34" s="64"/>
      <c r="C34" s="49" t="s">
        <v>46</v>
      </c>
      <c r="D34" s="61">
        <f t="shared" si="2"/>
        <v>4000</v>
      </c>
      <c r="E34" s="28">
        <v>2000</v>
      </c>
      <c r="F34" s="29"/>
      <c r="G34" s="29"/>
      <c r="H34" s="29"/>
      <c r="I34" s="29"/>
      <c r="J34" s="29"/>
      <c r="K34" s="29"/>
      <c r="L34" s="29">
        <v>2000</v>
      </c>
      <c r="M34" s="29"/>
      <c r="N34" s="29"/>
      <c r="O34" s="29"/>
      <c r="P34" s="29"/>
      <c r="Q34" s="30"/>
    </row>
    <row r="35" spans="1:17" s="21" customFormat="1" ht="24" x14ac:dyDescent="0.2">
      <c r="A35" s="54">
        <v>2211</v>
      </c>
      <c r="B35" s="64"/>
      <c r="C35" s="49" t="s">
        <v>47</v>
      </c>
      <c r="D35" s="61">
        <f t="shared" si="2"/>
        <v>25000</v>
      </c>
      <c r="E35" s="28">
        <v>5000</v>
      </c>
      <c r="F35" s="28"/>
      <c r="G35" s="28">
        <v>5000</v>
      </c>
      <c r="H35" s="28"/>
      <c r="I35" s="28"/>
      <c r="J35" s="28">
        <v>5000</v>
      </c>
      <c r="K35" s="28"/>
      <c r="L35" s="28">
        <v>5000</v>
      </c>
      <c r="M35" s="28"/>
      <c r="N35" s="28">
        <v>5000</v>
      </c>
      <c r="O35" s="28"/>
      <c r="P35" s="28"/>
      <c r="Q35" s="30"/>
    </row>
    <row r="36" spans="1:17" s="21" customFormat="1" ht="14.25" x14ac:dyDescent="0.2">
      <c r="A36" s="54">
        <v>2221</v>
      </c>
      <c r="B36" s="27"/>
      <c r="C36" s="49" t="s">
        <v>48</v>
      </c>
      <c r="D36" s="61">
        <f t="shared" si="2"/>
        <v>2000</v>
      </c>
      <c r="E36" s="28"/>
      <c r="F36" s="29">
        <v>500</v>
      </c>
      <c r="G36" s="29"/>
      <c r="H36" s="29"/>
      <c r="I36" s="29">
        <v>500</v>
      </c>
      <c r="J36" s="29"/>
      <c r="K36" s="29"/>
      <c r="L36" s="29">
        <v>500</v>
      </c>
      <c r="M36" s="29"/>
      <c r="N36" s="29"/>
      <c r="O36" s="29">
        <v>500</v>
      </c>
      <c r="P36" s="29"/>
      <c r="Q36" s="30"/>
    </row>
    <row r="37" spans="1:17" s="21" customFormat="1" ht="14.25" x14ac:dyDescent="0.2">
      <c r="A37" s="54">
        <v>2231</v>
      </c>
      <c r="B37" s="27"/>
      <c r="C37" s="49" t="s">
        <v>49</v>
      </c>
      <c r="D37" s="61">
        <f t="shared" si="2"/>
        <v>5500</v>
      </c>
      <c r="E37" s="28">
        <v>500</v>
      </c>
      <c r="F37" s="29">
        <v>5000</v>
      </c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</row>
    <row r="38" spans="1:17" s="21" customFormat="1" ht="14.25" x14ac:dyDescent="0.2">
      <c r="A38" s="54">
        <v>2411</v>
      </c>
      <c r="B38" s="27"/>
      <c r="C38" s="49" t="s">
        <v>50</v>
      </c>
      <c r="D38" s="61">
        <f t="shared" si="2"/>
        <v>1000</v>
      </c>
      <c r="E38" s="28"/>
      <c r="F38" s="29"/>
      <c r="G38" s="29">
        <v>1000</v>
      </c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s="21" customFormat="1" ht="14.25" x14ac:dyDescent="0.2">
      <c r="A39" s="54">
        <v>2421</v>
      </c>
      <c r="B39" s="27"/>
      <c r="C39" s="49" t="s">
        <v>51</v>
      </c>
      <c r="D39" s="61">
        <f t="shared" si="2"/>
        <v>1000</v>
      </c>
      <c r="E39" s="28"/>
      <c r="F39" s="29"/>
      <c r="G39" s="29">
        <v>1000</v>
      </c>
      <c r="H39" s="29"/>
      <c r="I39" s="29"/>
      <c r="J39" s="29"/>
      <c r="K39" s="29"/>
      <c r="L39" s="29"/>
      <c r="M39" s="29"/>
      <c r="N39" s="29"/>
      <c r="O39" s="29"/>
      <c r="P39" s="29"/>
      <c r="Q39" s="30"/>
    </row>
    <row r="40" spans="1:17" s="21" customFormat="1" ht="14.25" x14ac:dyDescent="0.2">
      <c r="A40" s="54">
        <v>2431</v>
      </c>
      <c r="B40" s="27"/>
      <c r="C40" s="49" t="s">
        <v>52</v>
      </c>
      <c r="D40" s="61">
        <f t="shared" si="2"/>
        <v>1000</v>
      </c>
      <c r="E40" s="28"/>
      <c r="F40" s="29"/>
      <c r="G40" s="29">
        <v>1000</v>
      </c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7" s="21" customFormat="1" ht="14.25" x14ac:dyDescent="0.2">
      <c r="A41" s="54">
        <v>2441</v>
      </c>
      <c r="B41" s="27"/>
      <c r="C41" s="49" t="s">
        <v>53</v>
      </c>
      <c r="D41" s="61">
        <f t="shared" si="2"/>
        <v>1000</v>
      </c>
      <c r="E41" s="28"/>
      <c r="F41" s="29"/>
      <c r="G41" s="29">
        <v>1000</v>
      </c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1:17" s="21" customFormat="1" ht="14.25" x14ac:dyDescent="0.2">
      <c r="A42" s="54">
        <v>2451</v>
      </c>
      <c r="B42" s="27"/>
      <c r="C42" s="49" t="s">
        <v>54</v>
      </c>
      <c r="D42" s="61">
        <f t="shared" si="2"/>
        <v>3000</v>
      </c>
      <c r="E42" s="28">
        <v>1000</v>
      </c>
      <c r="F42" s="29"/>
      <c r="G42" s="29"/>
      <c r="H42" s="29"/>
      <c r="I42" s="29"/>
      <c r="J42" s="29"/>
      <c r="K42" s="29">
        <v>1000</v>
      </c>
      <c r="L42" s="29"/>
      <c r="M42" s="29"/>
      <c r="N42" s="29">
        <v>1000</v>
      </c>
      <c r="O42" s="29"/>
      <c r="P42" s="29"/>
      <c r="Q42" s="30"/>
    </row>
    <row r="43" spans="1:17" s="34" customFormat="1" ht="14.25" x14ac:dyDescent="0.2">
      <c r="A43" s="54">
        <v>2461</v>
      </c>
      <c r="B43" s="64"/>
      <c r="C43" s="49" t="s">
        <v>55</v>
      </c>
      <c r="D43" s="61">
        <f t="shared" si="2"/>
        <v>10000</v>
      </c>
      <c r="E43" s="28">
        <v>10000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33"/>
    </row>
    <row r="44" spans="1:17" s="21" customFormat="1" ht="14.25" x14ac:dyDescent="0.2">
      <c r="A44" s="55">
        <v>2471</v>
      </c>
      <c r="B44" s="31"/>
      <c r="C44" s="49" t="s">
        <v>56</v>
      </c>
      <c r="D44" s="61">
        <f t="shared" si="2"/>
        <v>5224.68</v>
      </c>
      <c r="E44" s="181">
        <v>2224.6799999999998</v>
      </c>
      <c r="F44" s="29"/>
      <c r="G44" s="29"/>
      <c r="H44" s="29">
        <v>1000</v>
      </c>
      <c r="I44" s="29"/>
      <c r="J44" s="29">
        <v>1000</v>
      </c>
      <c r="K44" s="29"/>
      <c r="L44" s="29">
        <v>1000</v>
      </c>
      <c r="M44" s="29"/>
      <c r="N44" s="29"/>
      <c r="O44" s="29"/>
      <c r="P44" s="29"/>
      <c r="Q44" s="30"/>
    </row>
    <row r="45" spans="1:17" s="21" customFormat="1" ht="14.25" x14ac:dyDescent="0.2">
      <c r="A45" s="55">
        <v>2481</v>
      </c>
      <c r="B45" s="31"/>
      <c r="C45" s="49" t="s">
        <v>57</v>
      </c>
      <c r="D45" s="61">
        <f t="shared" si="2"/>
        <v>2000</v>
      </c>
      <c r="E45" s="28"/>
      <c r="F45" s="28">
        <v>1000</v>
      </c>
      <c r="G45" s="29"/>
      <c r="H45" s="29"/>
      <c r="I45" s="29"/>
      <c r="J45" s="29"/>
      <c r="K45" s="29">
        <v>1000</v>
      </c>
      <c r="L45" s="29"/>
      <c r="M45" s="29"/>
      <c r="N45" s="29"/>
      <c r="O45" s="29"/>
      <c r="P45" s="29"/>
      <c r="Q45" s="30"/>
    </row>
    <row r="46" spans="1:17" s="21" customFormat="1" ht="24" x14ac:dyDescent="0.2">
      <c r="A46" s="54">
        <v>2491</v>
      </c>
      <c r="B46" s="27"/>
      <c r="C46" s="49" t="s">
        <v>58</v>
      </c>
      <c r="D46" s="61">
        <f t="shared" si="2"/>
        <v>4000</v>
      </c>
      <c r="E46" s="28"/>
      <c r="F46" s="28">
        <v>1000</v>
      </c>
      <c r="G46" s="28"/>
      <c r="H46" s="28">
        <v>1000</v>
      </c>
      <c r="I46" s="28"/>
      <c r="J46" s="28">
        <v>1000</v>
      </c>
      <c r="K46" s="28"/>
      <c r="L46" s="28"/>
      <c r="M46" s="28"/>
      <c r="N46" s="28">
        <v>1000</v>
      </c>
      <c r="O46" s="28"/>
      <c r="P46" s="28"/>
      <c r="Q46" s="30"/>
    </row>
    <row r="47" spans="1:17" s="21" customFormat="1" ht="14.25" x14ac:dyDescent="0.2">
      <c r="A47" s="54">
        <v>2511</v>
      </c>
      <c r="B47" s="27"/>
      <c r="C47" s="49" t="s">
        <v>59</v>
      </c>
      <c r="D47" s="61">
        <f t="shared" si="2"/>
        <v>20000</v>
      </c>
      <c r="E47" s="28"/>
      <c r="F47" s="29"/>
      <c r="G47" s="28">
        <v>20000</v>
      </c>
      <c r="H47" s="29"/>
      <c r="I47" s="29"/>
      <c r="J47" s="29"/>
      <c r="K47" s="28"/>
      <c r="L47" s="29"/>
      <c r="M47" s="29"/>
      <c r="N47" s="29"/>
      <c r="O47" s="29"/>
      <c r="P47" s="29"/>
      <c r="Q47" s="30"/>
    </row>
    <row r="48" spans="1:17" s="21" customFormat="1" ht="14.25" x14ac:dyDescent="0.2">
      <c r="A48" s="54">
        <v>2521</v>
      </c>
      <c r="B48" s="27"/>
      <c r="C48" s="49" t="s">
        <v>60</v>
      </c>
      <c r="D48" s="61">
        <f t="shared" si="2"/>
        <v>7200</v>
      </c>
      <c r="E48" s="28"/>
      <c r="F48" s="28"/>
      <c r="G48" s="28"/>
      <c r="H48" s="28"/>
      <c r="I48" s="28"/>
      <c r="J48" s="28"/>
      <c r="K48" s="28"/>
      <c r="L48" s="28">
        <v>7200</v>
      </c>
      <c r="M48" s="28"/>
      <c r="N48" s="28"/>
      <c r="O48" s="28"/>
      <c r="P48" s="28"/>
      <c r="Q48" s="30"/>
    </row>
    <row r="49" spans="1:17" s="21" customFormat="1" ht="14.25" x14ac:dyDescent="0.2">
      <c r="A49" s="54">
        <v>2531</v>
      </c>
      <c r="B49" s="27"/>
      <c r="C49" s="49" t="s">
        <v>61</v>
      </c>
      <c r="D49" s="61">
        <f t="shared" si="2"/>
        <v>2000</v>
      </c>
      <c r="E49" s="28">
        <v>1000</v>
      </c>
      <c r="F49" s="29"/>
      <c r="G49" s="29"/>
      <c r="H49" s="29"/>
      <c r="I49" s="29"/>
      <c r="J49" s="29"/>
      <c r="K49" s="29"/>
      <c r="L49" s="28">
        <v>1000</v>
      </c>
      <c r="M49" s="29"/>
      <c r="N49" s="29"/>
      <c r="O49" s="29"/>
      <c r="P49" s="29"/>
      <c r="Q49" s="30"/>
    </row>
    <row r="50" spans="1:17" s="21" customFormat="1" ht="24" x14ac:dyDescent="0.2">
      <c r="A50" s="54">
        <v>2541</v>
      </c>
      <c r="B50" s="27"/>
      <c r="C50" s="49" t="s">
        <v>62</v>
      </c>
      <c r="D50" s="61">
        <f t="shared" si="2"/>
        <v>3000</v>
      </c>
      <c r="E50" s="28">
        <v>3000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s="21" customFormat="1" ht="24" x14ac:dyDescent="0.2">
      <c r="A51" s="54">
        <v>2551</v>
      </c>
      <c r="B51" s="27"/>
      <c r="C51" s="49" t="s">
        <v>63</v>
      </c>
      <c r="D51" s="61">
        <f t="shared" si="2"/>
        <v>18000</v>
      </c>
      <c r="E51" s="28"/>
      <c r="F51" s="29"/>
      <c r="G51" s="29">
        <v>5000</v>
      </c>
      <c r="H51" s="29">
        <v>6000</v>
      </c>
      <c r="I51" s="29"/>
      <c r="J51" s="29"/>
      <c r="K51" s="29"/>
      <c r="L51" s="29">
        <v>5000</v>
      </c>
      <c r="M51" s="29"/>
      <c r="N51" s="29">
        <v>2000</v>
      </c>
      <c r="O51" s="29"/>
      <c r="P51" s="29"/>
      <c r="Q51" s="30"/>
    </row>
    <row r="52" spans="1:17" s="21" customFormat="1" ht="14.25" x14ac:dyDescent="0.2">
      <c r="A52" s="54">
        <v>2561</v>
      </c>
      <c r="B52" s="27"/>
      <c r="C52" s="49" t="s">
        <v>64</v>
      </c>
      <c r="D52" s="61">
        <f t="shared" si="2"/>
        <v>9000</v>
      </c>
      <c r="E52" s="28"/>
      <c r="F52" s="29">
        <v>1500</v>
      </c>
      <c r="G52" s="29"/>
      <c r="H52" s="29"/>
      <c r="I52" s="28"/>
      <c r="J52" s="29"/>
      <c r="K52" s="29"/>
      <c r="L52" s="28">
        <v>2500</v>
      </c>
      <c r="M52" s="29"/>
      <c r="N52" s="29"/>
      <c r="O52" s="28">
        <v>5000</v>
      </c>
      <c r="P52" s="29"/>
      <c r="Q52" s="30"/>
    </row>
    <row r="53" spans="1:17" s="21" customFormat="1" ht="14.25" x14ac:dyDescent="0.2">
      <c r="A53" s="54">
        <v>2591</v>
      </c>
      <c r="B53" s="27"/>
      <c r="C53" s="49" t="s">
        <v>65</v>
      </c>
      <c r="D53" s="61">
        <f t="shared" si="2"/>
        <v>20000</v>
      </c>
      <c r="E53" s="28">
        <v>15000</v>
      </c>
      <c r="F53" s="29"/>
      <c r="G53" s="29"/>
      <c r="H53" s="29"/>
      <c r="I53" s="29"/>
      <c r="J53" s="29"/>
      <c r="K53" s="29"/>
      <c r="L53" s="29">
        <v>5000</v>
      </c>
      <c r="M53" s="29"/>
      <c r="N53" s="29"/>
      <c r="O53" s="29"/>
      <c r="P53" s="29"/>
      <c r="Q53" s="30"/>
    </row>
    <row r="54" spans="1:17" s="21" customFormat="1" ht="14.25" x14ac:dyDescent="0.2">
      <c r="A54" s="54">
        <v>2611</v>
      </c>
      <c r="B54" s="27"/>
      <c r="C54" s="49" t="s">
        <v>66</v>
      </c>
      <c r="D54" s="61">
        <f t="shared" si="2"/>
        <v>62000</v>
      </c>
      <c r="E54" s="28">
        <v>4000</v>
      </c>
      <c r="F54" s="28">
        <v>5000</v>
      </c>
      <c r="G54" s="28">
        <v>5000</v>
      </c>
      <c r="H54" s="28">
        <v>5000</v>
      </c>
      <c r="I54" s="28">
        <v>5000</v>
      </c>
      <c r="J54" s="28">
        <v>6000</v>
      </c>
      <c r="K54" s="28">
        <v>6000</v>
      </c>
      <c r="L54" s="28">
        <v>4000</v>
      </c>
      <c r="M54" s="28">
        <v>6000</v>
      </c>
      <c r="N54" s="28">
        <v>6000</v>
      </c>
      <c r="O54" s="28">
        <v>6000</v>
      </c>
      <c r="P54" s="28">
        <v>4000</v>
      </c>
      <c r="Q54" s="30"/>
    </row>
    <row r="55" spans="1:17" s="21" customFormat="1" ht="14.25" x14ac:dyDescent="0.2">
      <c r="A55" s="54">
        <v>2612</v>
      </c>
      <c r="B55" s="27"/>
      <c r="C55" s="49" t="s">
        <v>67</v>
      </c>
      <c r="D55" s="61">
        <f t="shared" si="2"/>
        <v>5500</v>
      </c>
      <c r="E55" s="28">
        <v>1500</v>
      </c>
      <c r="F55" s="29"/>
      <c r="G55" s="29"/>
      <c r="H55" s="29">
        <v>1000</v>
      </c>
      <c r="I55" s="29"/>
      <c r="J55" s="29">
        <v>1000</v>
      </c>
      <c r="K55" s="29"/>
      <c r="L55" s="29">
        <v>1000</v>
      </c>
      <c r="M55" s="29"/>
      <c r="N55" s="29"/>
      <c r="O55" s="29">
        <v>1000</v>
      </c>
      <c r="P55" s="29"/>
      <c r="Q55" s="30"/>
    </row>
    <row r="56" spans="1:17" s="21" customFormat="1" ht="14.25" x14ac:dyDescent="0.2">
      <c r="A56" s="54">
        <v>2711</v>
      </c>
      <c r="B56" s="27"/>
      <c r="C56" s="49" t="s">
        <v>68</v>
      </c>
      <c r="D56" s="61">
        <f t="shared" si="2"/>
        <v>3000</v>
      </c>
      <c r="E56" s="28"/>
      <c r="F56" s="207">
        <v>1000</v>
      </c>
      <c r="G56" s="29"/>
      <c r="H56" s="29"/>
      <c r="I56" s="29"/>
      <c r="J56" s="29"/>
      <c r="K56" s="29"/>
      <c r="L56" s="207">
        <v>2000</v>
      </c>
      <c r="M56" s="29"/>
      <c r="N56" s="29"/>
      <c r="O56" s="29"/>
      <c r="P56" s="29"/>
      <c r="Q56" s="30"/>
    </row>
    <row r="57" spans="1:17" s="21" customFormat="1" ht="14.25" x14ac:dyDescent="0.2">
      <c r="A57" s="54">
        <v>2721</v>
      </c>
      <c r="B57" s="27"/>
      <c r="C57" s="49" t="s">
        <v>69</v>
      </c>
      <c r="D57" s="61">
        <f t="shared" si="2"/>
        <v>6000</v>
      </c>
      <c r="E57" s="28">
        <v>0</v>
      </c>
      <c r="F57" s="29"/>
      <c r="G57" s="29">
        <v>3000</v>
      </c>
      <c r="H57" s="29">
        <v>3000</v>
      </c>
      <c r="I57" s="29"/>
      <c r="J57" s="29"/>
      <c r="K57" s="29"/>
      <c r="L57" s="29"/>
      <c r="M57" s="29"/>
      <c r="N57" s="29"/>
      <c r="O57" s="29"/>
      <c r="P57" s="29"/>
      <c r="Q57" s="30"/>
    </row>
    <row r="58" spans="1:17" s="21" customFormat="1" ht="14.25" x14ac:dyDescent="0.2">
      <c r="A58" s="54">
        <v>2731</v>
      </c>
      <c r="B58" s="27"/>
      <c r="C58" s="49" t="s">
        <v>70</v>
      </c>
      <c r="D58" s="61">
        <f t="shared" si="2"/>
        <v>5000</v>
      </c>
      <c r="E58" s="28">
        <v>2500</v>
      </c>
      <c r="F58" s="29"/>
      <c r="G58" s="29"/>
      <c r="H58" s="29"/>
      <c r="I58" s="29"/>
      <c r="J58" s="29"/>
      <c r="K58" s="29"/>
      <c r="L58" s="29">
        <v>2500</v>
      </c>
      <c r="M58" s="29"/>
      <c r="N58" s="29"/>
      <c r="O58" s="29"/>
      <c r="P58" s="29"/>
      <c r="Q58" s="30"/>
    </row>
    <row r="59" spans="1:17" s="21" customFormat="1" ht="14.25" x14ac:dyDescent="0.2">
      <c r="A59" s="54">
        <v>2911</v>
      </c>
      <c r="B59" s="27"/>
      <c r="C59" s="51" t="s">
        <v>71</v>
      </c>
      <c r="D59" s="61">
        <f t="shared" si="2"/>
        <v>10000</v>
      </c>
      <c r="E59" s="28">
        <v>0</v>
      </c>
      <c r="F59" s="29">
        <v>2000</v>
      </c>
      <c r="G59" s="29"/>
      <c r="H59" s="29"/>
      <c r="I59" s="29"/>
      <c r="J59" s="29"/>
      <c r="K59" s="29"/>
      <c r="L59" s="29">
        <v>8000</v>
      </c>
      <c r="M59" s="29"/>
      <c r="N59" s="29"/>
      <c r="O59" s="29"/>
      <c r="P59" s="29"/>
      <c r="Q59" s="30"/>
    </row>
    <row r="60" spans="1:17" s="21" customFormat="1" ht="24" x14ac:dyDescent="0.2">
      <c r="A60" s="54">
        <v>2921</v>
      </c>
      <c r="B60" s="27"/>
      <c r="C60" s="51" t="s">
        <v>72</v>
      </c>
      <c r="D60" s="61">
        <f t="shared" si="2"/>
        <v>4000</v>
      </c>
      <c r="E60" s="28"/>
      <c r="F60" s="29"/>
      <c r="G60" s="29">
        <v>2000</v>
      </c>
      <c r="H60" s="29"/>
      <c r="I60" s="29"/>
      <c r="J60" s="29"/>
      <c r="K60" s="29"/>
      <c r="L60" s="29"/>
      <c r="M60" s="29"/>
      <c r="N60" s="29">
        <v>2000</v>
      </c>
      <c r="O60" s="29"/>
      <c r="P60" s="29"/>
      <c r="Q60" s="30"/>
    </row>
    <row r="61" spans="1:17" s="21" customFormat="1" ht="36" x14ac:dyDescent="0.2">
      <c r="A61" s="54">
        <v>2931</v>
      </c>
      <c r="B61" s="27"/>
      <c r="C61" s="51" t="s">
        <v>73</v>
      </c>
      <c r="D61" s="61">
        <f t="shared" si="2"/>
        <v>1500</v>
      </c>
      <c r="E61" s="28"/>
      <c r="F61" s="29">
        <v>1000</v>
      </c>
      <c r="G61" s="29"/>
      <c r="H61" s="29"/>
      <c r="I61" s="29"/>
      <c r="J61" s="29"/>
      <c r="K61" s="29"/>
      <c r="L61" s="29">
        <v>500</v>
      </c>
      <c r="M61" s="29"/>
      <c r="N61" s="29"/>
      <c r="O61" s="29"/>
      <c r="P61" s="29"/>
      <c r="Q61" s="30"/>
    </row>
    <row r="62" spans="1:17" s="21" customFormat="1" ht="36" x14ac:dyDescent="0.2">
      <c r="A62" s="54">
        <v>2941</v>
      </c>
      <c r="B62" s="27"/>
      <c r="C62" s="51" t="s">
        <v>74</v>
      </c>
      <c r="D62" s="61">
        <f t="shared" si="2"/>
        <v>2000</v>
      </c>
      <c r="E62" s="28"/>
      <c r="F62" s="29">
        <v>1000</v>
      </c>
      <c r="G62" s="29"/>
      <c r="H62" s="29"/>
      <c r="I62" s="29"/>
      <c r="J62" s="29"/>
      <c r="K62" s="29"/>
      <c r="L62" s="29">
        <v>1000</v>
      </c>
      <c r="M62" s="29"/>
      <c r="N62" s="29"/>
      <c r="O62" s="29"/>
      <c r="P62" s="29"/>
      <c r="Q62" s="30"/>
    </row>
    <row r="63" spans="1:17" s="21" customFormat="1" ht="36" x14ac:dyDescent="0.2">
      <c r="A63" s="54">
        <v>2951</v>
      </c>
      <c r="B63" s="27"/>
      <c r="C63" s="51" t="s">
        <v>75</v>
      </c>
      <c r="D63" s="61">
        <f t="shared" si="2"/>
        <v>18000</v>
      </c>
      <c r="E63" s="28"/>
      <c r="F63" s="28">
        <v>9000</v>
      </c>
      <c r="G63" s="29"/>
      <c r="H63" s="29"/>
      <c r="I63" s="29"/>
      <c r="J63" s="29"/>
      <c r="K63" s="29">
        <v>9000</v>
      </c>
      <c r="L63" s="29"/>
      <c r="M63" s="29"/>
      <c r="N63" s="29"/>
      <c r="O63" s="29"/>
      <c r="P63" s="29"/>
      <c r="Q63" s="30"/>
    </row>
    <row r="64" spans="1:17" s="21" customFormat="1" ht="24" x14ac:dyDescent="0.2">
      <c r="A64" s="54">
        <v>2961</v>
      </c>
      <c r="B64" s="27"/>
      <c r="C64" s="51" t="s">
        <v>76</v>
      </c>
      <c r="D64" s="61">
        <f>SUM(G64:P64)</f>
        <v>25000</v>
      </c>
      <c r="E64" s="67"/>
      <c r="G64" s="28">
        <v>5000</v>
      </c>
      <c r="H64" s="28">
        <v>5000</v>
      </c>
      <c r="J64" s="28">
        <v>5000</v>
      </c>
      <c r="L64" s="28"/>
      <c r="M64" s="28">
        <v>5000</v>
      </c>
      <c r="N64" s="28"/>
      <c r="O64" s="28"/>
      <c r="P64" s="28">
        <v>5000</v>
      </c>
      <c r="Q64" s="30"/>
    </row>
    <row r="65" spans="1:18" s="21" customFormat="1" ht="24" x14ac:dyDescent="0.2">
      <c r="A65" s="54">
        <v>2981</v>
      </c>
      <c r="B65" s="27"/>
      <c r="C65" s="51" t="s">
        <v>77</v>
      </c>
      <c r="D65" s="61">
        <f t="shared" si="2"/>
        <v>1500</v>
      </c>
      <c r="E65" s="28"/>
      <c r="F65" s="29"/>
      <c r="G65" s="29"/>
      <c r="H65" s="29"/>
      <c r="I65" s="29"/>
      <c r="J65" s="29">
        <v>1500</v>
      </c>
      <c r="K65" s="29"/>
      <c r="L65" s="29"/>
      <c r="M65" s="29"/>
      <c r="N65" s="29"/>
      <c r="O65" s="29"/>
      <c r="P65" s="29"/>
      <c r="Q65" s="30"/>
    </row>
    <row r="66" spans="1:18" s="21" customFormat="1" ht="24" x14ac:dyDescent="0.2">
      <c r="A66" s="54">
        <v>2991</v>
      </c>
      <c r="B66" s="27"/>
      <c r="C66" s="51" t="s">
        <v>78</v>
      </c>
      <c r="D66" s="61">
        <f t="shared" si="2"/>
        <v>1500</v>
      </c>
      <c r="E66" s="28"/>
      <c r="F66" s="29">
        <v>500</v>
      </c>
      <c r="G66" s="29"/>
      <c r="H66" s="29"/>
      <c r="I66" s="29">
        <v>500</v>
      </c>
      <c r="J66" s="29"/>
      <c r="K66" s="29"/>
      <c r="L66" s="29"/>
      <c r="M66" s="29">
        <v>500</v>
      </c>
      <c r="N66" s="29"/>
      <c r="O66" s="29"/>
      <c r="P66" s="29"/>
      <c r="Q66" s="30"/>
    </row>
    <row r="67" spans="1:18" s="11" customFormat="1" ht="25.5" x14ac:dyDescent="0.2">
      <c r="A67" s="22"/>
      <c r="B67" s="22"/>
      <c r="C67" s="62" t="s">
        <v>17</v>
      </c>
      <c r="D67" s="66">
        <f t="shared" ref="D67:P67" si="3">SUM(D29:D66)</f>
        <v>406424.68</v>
      </c>
      <c r="E67" s="24">
        <f t="shared" si="3"/>
        <v>80224.679999999993</v>
      </c>
      <c r="F67" s="24">
        <f t="shared" si="3"/>
        <v>29500</v>
      </c>
      <c r="G67" s="24">
        <f t="shared" si="3"/>
        <v>57100</v>
      </c>
      <c r="H67" s="24">
        <f t="shared" si="3"/>
        <v>25000</v>
      </c>
      <c r="I67" s="24">
        <f t="shared" si="3"/>
        <v>25300</v>
      </c>
      <c r="J67" s="24">
        <f t="shared" si="3"/>
        <v>23500</v>
      </c>
      <c r="K67" s="24">
        <f t="shared" si="3"/>
        <v>25300</v>
      </c>
      <c r="L67" s="24">
        <f t="shared" si="3"/>
        <v>63700</v>
      </c>
      <c r="M67" s="24">
        <f t="shared" si="3"/>
        <v>14000</v>
      </c>
      <c r="N67" s="24">
        <f t="shared" si="3"/>
        <v>35800</v>
      </c>
      <c r="O67" s="24">
        <f t="shared" si="3"/>
        <v>15000</v>
      </c>
      <c r="P67" s="24">
        <f t="shared" si="3"/>
        <v>12000</v>
      </c>
      <c r="Q67" s="25" t="s">
        <v>79</v>
      </c>
      <c r="R67" s="26"/>
    </row>
    <row r="68" spans="1:18" s="21" customFormat="1" ht="14.25" x14ac:dyDescent="0.2">
      <c r="A68" s="54">
        <v>3111</v>
      </c>
      <c r="B68" s="64"/>
      <c r="C68" s="49" t="s">
        <v>80</v>
      </c>
      <c r="D68" s="61">
        <f t="shared" si="2"/>
        <v>143536.95000000001</v>
      </c>
      <c r="E68" s="28"/>
      <c r="F68" s="28"/>
      <c r="G68" s="28">
        <f>15000-6463.05</f>
        <v>8536.9500000000007</v>
      </c>
      <c r="H68" s="28">
        <v>15000</v>
      </c>
      <c r="I68" s="28">
        <v>15000</v>
      </c>
      <c r="J68" s="28">
        <v>15000</v>
      </c>
      <c r="K68" s="28">
        <v>15000</v>
      </c>
      <c r="L68" s="28">
        <v>15000</v>
      </c>
      <c r="M68" s="28">
        <v>15000</v>
      </c>
      <c r="N68" s="28">
        <v>15000</v>
      </c>
      <c r="O68" s="28">
        <v>15000</v>
      </c>
      <c r="P68" s="28">
        <v>15000</v>
      </c>
      <c r="Q68" s="30"/>
    </row>
    <row r="69" spans="1:18" s="21" customFormat="1" ht="14.25" x14ac:dyDescent="0.2">
      <c r="A69" s="54">
        <v>3121</v>
      </c>
      <c r="B69" s="64"/>
      <c r="C69" s="49" t="s">
        <v>81</v>
      </c>
      <c r="D69" s="61">
        <f t="shared" si="2"/>
        <v>13000</v>
      </c>
      <c r="E69" s="28">
        <v>6000</v>
      </c>
      <c r="F69" s="29"/>
      <c r="G69" s="29"/>
      <c r="H69" s="29"/>
      <c r="I69" s="29"/>
      <c r="J69" s="28"/>
      <c r="K69" s="29"/>
      <c r="L69" s="28">
        <v>7000</v>
      </c>
      <c r="M69" s="29"/>
      <c r="N69" s="28"/>
      <c r="O69" s="29"/>
      <c r="P69" s="29"/>
      <c r="Q69" s="30"/>
    </row>
    <row r="70" spans="1:18" s="21" customFormat="1" ht="14.25" x14ac:dyDescent="0.2">
      <c r="A70" s="54">
        <v>3141</v>
      </c>
      <c r="B70" s="64"/>
      <c r="C70" s="49" t="s">
        <v>82</v>
      </c>
      <c r="D70" s="61">
        <f>SUM(E70:P70)</f>
        <v>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</row>
    <row r="71" spans="1:18" s="21" customFormat="1" ht="14.25" x14ac:dyDescent="0.2">
      <c r="A71" s="54">
        <v>3151</v>
      </c>
      <c r="B71" s="64"/>
      <c r="C71" s="49" t="s">
        <v>83</v>
      </c>
      <c r="D71" s="61">
        <f>SUM(E71:P71)</f>
        <v>15600</v>
      </c>
      <c r="E71" s="28">
        <v>1300</v>
      </c>
      <c r="F71" s="28">
        <v>1300</v>
      </c>
      <c r="G71" s="28">
        <v>1300</v>
      </c>
      <c r="H71" s="28">
        <v>1300</v>
      </c>
      <c r="I71" s="28">
        <v>1300</v>
      </c>
      <c r="J71" s="28">
        <v>1300</v>
      </c>
      <c r="K71" s="28">
        <v>1300</v>
      </c>
      <c r="L71" s="28">
        <v>1300</v>
      </c>
      <c r="M71" s="28">
        <v>1300</v>
      </c>
      <c r="N71" s="28">
        <v>1300</v>
      </c>
      <c r="O71" s="28">
        <v>1300</v>
      </c>
      <c r="P71" s="28">
        <v>1300</v>
      </c>
      <c r="Q71" s="30"/>
    </row>
    <row r="72" spans="1:18" s="21" customFormat="1" ht="24" x14ac:dyDescent="0.2">
      <c r="A72" s="54">
        <v>3171</v>
      </c>
      <c r="B72" s="64"/>
      <c r="C72" s="49" t="s">
        <v>84</v>
      </c>
      <c r="D72" s="61">
        <f t="shared" si="2"/>
        <v>151218.51</v>
      </c>
      <c r="E72" s="28">
        <f>10000.03+36463.05</f>
        <v>46463.08</v>
      </c>
      <c r="F72" s="28">
        <v>10000</v>
      </c>
      <c r="G72" s="28">
        <v>10000</v>
      </c>
      <c r="H72" s="28">
        <v>10000</v>
      </c>
      <c r="I72" s="28">
        <v>10000</v>
      </c>
      <c r="J72" s="28">
        <v>10000</v>
      </c>
      <c r="K72" s="28">
        <v>10000</v>
      </c>
      <c r="L72" s="28">
        <v>10000</v>
      </c>
      <c r="M72" s="28">
        <f>10000+21000</f>
        <v>31000</v>
      </c>
      <c r="N72" s="28">
        <f>4000-244.57</f>
        <v>3755.43</v>
      </c>
      <c r="O72" s="28"/>
      <c r="P72" s="28"/>
      <c r="Q72" s="30"/>
    </row>
    <row r="73" spans="1:18" s="21" customFormat="1" ht="14.25" x14ac:dyDescent="0.2">
      <c r="A73" s="54">
        <v>3181</v>
      </c>
      <c r="B73" s="64"/>
      <c r="C73" s="49" t="s">
        <v>85</v>
      </c>
      <c r="D73" s="61">
        <f t="shared" si="2"/>
        <v>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30"/>
    </row>
    <row r="74" spans="1:18" s="21" customFormat="1" ht="14.25" x14ac:dyDescent="0.2">
      <c r="A74" s="54">
        <v>3221</v>
      </c>
      <c r="B74" s="64"/>
      <c r="C74" s="49" t="s">
        <v>86</v>
      </c>
      <c r="D74" s="61">
        <f t="shared" si="2"/>
        <v>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0"/>
    </row>
    <row r="75" spans="1:18" s="21" customFormat="1" ht="14.25" x14ac:dyDescent="0.2">
      <c r="A75" s="56">
        <v>3231</v>
      </c>
      <c r="B75" s="32"/>
      <c r="C75" s="50" t="s">
        <v>87</v>
      </c>
      <c r="D75" s="61">
        <f t="shared" si="2"/>
        <v>0</v>
      </c>
      <c r="E75" s="2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0"/>
    </row>
    <row r="76" spans="1:18" s="21" customFormat="1" ht="24" x14ac:dyDescent="0.2">
      <c r="A76" s="54">
        <v>3261</v>
      </c>
      <c r="B76" s="27"/>
      <c r="C76" s="49" t="s">
        <v>88</v>
      </c>
      <c r="D76" s="61">
        <f t="shared" si="2"/>
        <v>0</v>
      </c>
      <c r="E76" s="28"/>
      <c r="F76" s="29"/>
      <c r="G76" s="29"/>
      <c r="H76" s="28"/>
      <c r="I76" s="28"/>
      <c r="J76" s="29"/>
      <c r="K76" s="29"/>
      <c r="L76" s="29"/>
      <c r="M76" s="29"/>
      <c r="N76" s="29"/>
      <c r="O76" s="29"/>
      <c r="P76" s="29"/>
      <c r="Q76" s="30"/>
    </row>
    <row r="77" spans="1:18" s="21" customFormat="1" ht="24" x14ac:dyDescent="0.2">
      <c r="A77" s="54">
        <v>3311</v>
      </c>
      <c r="B77" s="27"/>
      <c r="C77" s="49" t="s">
        <v>89</v>
      </c>
      <c r="D77" s="61">
        <f t="shared" si="2"/>
        <v>0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30"/>
    </row>
    <row r="78" spans="1:18" s="21" customFormat="1" ht="24" x14ac:dyDescent="0.2">
      <c r="A78" s="54">
        <v>3331</v>
      </c>
      <c r="B78" s="27"/>
      <c r="C78" s="49" t="s">
        <v>90</v>
      </c>
      <c r="D78" s="61">
        <f t="shared" si="2"/>
        <v>0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30"/>
    </row>
    <row r="79" spans="1:18" s="21" customFormat="1" ht="14.25" x14ac:dyDescent="0.2">
      <c r="A79" s="54">
        <v>3341</v>
      </c>
      <c r="B79" s="27"/>
      <c r="C79" s="49" t="s">
        <v>91</v>
      </c>
      <c r="D79" s="61">
        <f t="shared" si="2"/>
        <v>0</v>
      </c>
      <c r="E79" s="28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30"/>
    </row>
    <row r="80" spans="1:18" s="21" customFormat="1" ht="14.25" x14ac:dyDescent="0.2">
      <c r="A80" s="54">
        <v>3342</v>
      </c>
      <c r="B80" s="27"/>
      <c r="C80" s="49" t="s">
        <v>92</v>
      </c>
      <c r="D80" s="61">
        <f t="shared" si="2"/>
        <v>0</v>
      </c>
      <c r="E80" s="28"/>
      <c r="F80" s="29"/>
      <c r="G80" s="29"/>
      <c r="H80" s="29"/>
      <c r="I80" s="29"/>
      <c r="J80" s="29"/>
      <c r="K80" s="28"/>
      <c r="L80" s="29"/>
      <c r="M80" s="29"/>
      <c r="N80" s="29"/>
      <c r="O80" s="29"/>
      <c r="P80" s="29"/>
      <c r="Q80" s="30"/>
    </row>
    <row r="81" spans="1:17" s="21" customFormat="1" ht="24" x14ac:dyDescent="0.2">
      <c r="A81" s="54">
        <v>3361</v>
      </c>
      <c r="B81" s="27"/>
      <c r="C81" s="49" t="s">
        <v>93</v>
      </c>
      <c r="D81" s="61">
        <f t="shared" si="2"/>
        <v>0</v>
      </c>
      <c r="E81" s="28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0"/>
    </row>
    <row r="82" spans="1:17" s="21" customFormat="1" ht="14.25" x14ac:dyDescent="0.2">
      <c r="A82" s="54">
        <v>3362</v>
      </c>
      <c r="B82" s="64"/>
      <c r="C82" s="49" t="s">
        <v>94</v>
      </c>
      <c r="D82" s="61">
        <f t="shared" si="2"/>
        <v>0</v>
      </c>
      <c r="E82" s="28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30"/>
    </row>
    <row r="83" spans="1:17" s="21" customFormat="1" ht="14.25" x14ac:dyDescent="0.2">
      <c r="A83" s="54">
        <v>3381</v>
      </c>
      <c r="B83" s="64"/>
      <c r="C83" s="49" t="s">
        <v>95</v>
      </c>
      <c r="D83" s="61">
        <f t="shared" si="2"/>
        <v>0</v>
      </c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</row>
    <row r="84" spans="1:17" s="21" customFormat="1" ht="24" x14ac:dyDescent="0.2">
      <c r="A84" s="54">
        <v>3391</v>
      </c>
      <c r="B84" s="64"/>
      <c r="C84" s="49" t="s">
        <v>96</v>
      </c>
      <c r="D84" s="61">
        <f t="shared" si="2"/>
        <v>80000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>
        <v>80000</v>
      </c>
      <c r="P84" s="28"/>
      <c r="Q84" s="30"/>
    </row>
    <row r="85" spans="1:17" s="21" customFormat="1" ht="14.25" x14ac:dyDescent="0.2">
      <c r="A85" s="54">
        <v>3411</v>
      </c>
      <c r="B85" s="64"/>
      <c r="C85" s="49" t="s">
        <v>97</v>
      </c>
      <c r="D85" s="61">
        <f t="shared" si="2"/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30"/>
    </row>
    <row r="86" spans="1:17" s="21" customFormat="1" ht="14.25" x14ac:dyDescent="0.2">
      <c r="A86" s="54">
        <v>3451</v>
      </c>
      <c r="B86" s="64"/>
      <c r="C86" s="49" t="s">
        <v>98</v>
      </c>
      <c r="D86" s="61">
        <f t="shared" si="2"/>
        <v>0</v>
      </c>
      <c r="E86" s="28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30"/>
    </row>
    <row r="87" spans="1:17" s="21" customFormat="1" ht="14.25" x14ac:dyDescent="0.2">
      <c r="A87" s="54">
        <v>3471</v>
      </c>
      <c r="B87" s="64"/>
      <c r="C87" s="49" t="s">
        <v>99</v>
      </c>
      <c r="D87" s="61">
        <f t="shared" si="2"/>
        <v>0</v>
      </c>
      <c r="E87" s="28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30"/>
    </row>
    <row r="88" spans="1:17" s="21" customFormat="1" ht="24" x14ac:dyDescent="0.2">
      <c r="A88" s="54">
        <v>3511</v>
      </c>
      <c r="B88" s="64"/>
      <c r="C88" s="49" t="s">
        <v>100</v>
      </c>
      <c r="D88" s="61">
        <f t="shared" si="2"/>
        <v>0</v>
      </c>
      <c r="E88" s="28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30"/>
    </row>
    <row r="89" spans="1:17" s="34" customFormat="1" ht="36" x14ac:dyDescent="0.2">
      <c r="A89" s="54">
        <v>3531</v>
      </c>
      <c r="B89" s="64"/>
      <c r="C89" s="49" t="s">
        <v>101</v>
      </c>
      <c r="D89" s="61">
        <f t="shared" si="2"/>
        <v>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33"/>
    </row>
    <row r="90" spans="1:17" s="21" customFormat="1" ht="36" x14ac:dyDescent="0.2">
      <c r="A90" s="54">
        <v>3541</v>
      </c>
      <c r="B90" s="64"/>
      <c r="C90" s="49" t="s">
        <v>102</v>
      </c>
      <c r="D90" s="61">
        <f t="shared" si="2"/>
        <v>0</v>
      </c>
      <c r="E90" s="28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30"/>
    </row>
    <row r="91" spans="1:17" s="21" customFormat="1" ht="24" x14ac:dyDescent="0.2">
      <c r="A91" s="54">
        <v>3551</v>
      </c>
      <c r="B91" s="64"/>
      <c r="C91" s="49" t="s">
        <v>103</v>
      </c>
      <c r="D91" s="61">
        <f t="shared" si="2"/>
        <v>0</v>
      </c>
      <c r="E91" s="28"/>
      <c r="F91" s="29"/>
      <c r="G91" s="29"/>
      <c r="H91" s="29"/>
      <c r="I91" s="29"/>
      <c r="J91" s="28"/>
      <c r="K91" s="29"/>
      <c r="L91" s="29"/>
      <c r="M91" s="29"/>
      <c r="N91" s="29"/>
      <c r="O91" s="29"/>
      <c r="P91" s="29"/>
      <c r="Q91" s="30"/>
    </row>
    <row r="92" spans="1:17" s="21" customFormat="1" ht="24" x14ac:dyDescent="0.2">
      <c r="A92" s="54">
        <v>3571</v>
      </c>
      <c r="B92" s="64"/>
      <c r="C92" s="49" t="s">
        <v>104</v>
      </c>
      <c r="D92" s="61">
        <f t="shared" si="2"/>
        <v>0</v>
      </c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30"/>
    </row>
    <row r="93" spans="1:17" s="21" customFormat="1" ht="24" x14ac:dyDescent="0.2">
      <c r="A93" s="54">
        <v>3572</v>
      </c>
      <c r="B93" s="64"/>
      <c r="C93" s="49" t="s">
        <v>105</v>
      </c>
      <c r="D93" s="61">
        <f t="shared" ref="D93:D104" si="4">SUM(E93:P93)</f>
        <v>0</v>
      </c>
      <c r="E93" s="2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30"/>
    </row>
    <row r="94" spans="1:17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28"/>
      <c r="F94" s="29"/>
      <c r="G94" s="29"/>
      <c r="H94" s="29"/>
      <c r="I94" s="28"/>
      <c r="J94" s="29"/>
      <c r="K94" s="29"/>
      <c r="L94" s="29"/>
      <c r="M94" s="28"/>
      <c r="N94" s="29"/>
      <c r="O94" s="29"/>
      <c r="P94" s="29"/>
      <c r="Q94" s="30"/>
    </row>
    <row r="95" spans="1:17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</row>
    <row r="96" spans="1:17" s="21" customFormat="1" ht="36" x14ac:dyDescent="0.2">
      <c r="A96" s="54">
        <v>3621</v>
      </c>
      <c r="B96" s="64"/>
      <c r="C96" s="49" t="s">
        <v>108</v>
      </c>
      <c r="D96" s="61">
        <f t="shared" si="4"/>
        <v>0</v>
      </c>
      <c r="E96" s="28"/>
      <c r="F96" s="28"/>
      <c r="G96" s="28"/>
      <c r="H96" s="29"/>
      <c r="I96" s="29"/>
      <c r="J96" s="29"/>
      <c r="K96" s="29"/>
      <c r="L96" s="29"/>
      <c r="M96" s="29"/>
      <c r="N96" s="29"/>
      <c r="O96" s="29"/>
      <c r="P96" s="29"/>
      <c r="Q96" s="30"/>
    </row>
    <row r="97" spans="1:18" s="21" customFormat="1" ht="14.25" x14ac:dyDescent="0.2">
      <c r="A97" s="54">
        <v>3711</v>
      </c>
      <c r="B97" s="64"/>
      <c r="C97" s="49" t="s">
        <v>109</v>
      </c>
      <c r="D97" s="61">
        <f t="shared" si="4"/>
        <v>0</v>
      </c>
      <c r="E97" s="28"/>
      <c r="F97" s="29"/>
      <c r="G97" s="29"/>
      <c r="H97" s="28"/>
      <c r="I97" s="29"/>
      <c r="J97" s="29"/>
      <c r="K97" s="28"/>
      <c r="L97" s="28"/>
      <c r="M97" s="29"/>
      <c r="N97" s="28"/>
      <c r="O97" s="29"/>
      <c r="P97" s="29"/>
      <c r="Q97" s="30"/>
    </row>
    <row r="98" spans="1:18" s="34" customFormat="1" ht="14.25" x14ac:dyDescent="0.2">
      <c r="A98" s="54">
        <v>3721</v>
      </c>
      <c r="B98" s="64"/>
      <c r="C98" s="49" t="s">
        <v>110</v>
      </c>
      <c r="D98" s="61">
        <f t="shared" si="4"/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33"/>
    </row>
    <row r="99" spans="1:18" s="34" customFormat="1" ht="14.25" x14ac:dyDescent="0.2">
      <c r="A99" s="54">
        <v>3751</v>
      </c>
      <c r="B99" s="64"/>
      <c r="C99" s="49" t="s">
        <v>111</v>
      </c>
      <c r="D99" s="61">
        <f t="shared" si="4"/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33"/>
    </row>
    <row r="100" spans="1:18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33"/>
    </row>
    <row r="101" spans="1:18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33"/>
    </row>
    <row r="102" spans="1:18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33"/>
    </row>
    <row r="103" spans="1:18" s="34" customFormat="1" ht="14.25" x14ac:dyDescent="0.2">
      <c r="A103" s="54">
        <v>3792</v>
      </c>
      <c r="B103" s="64"/>
      <c r="C103" s="49" t="s">
        <v>115</v>
      </c>
      <c r="D103" s="61">
        <f t="shared" si="4"/>
        <v>0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33"/>
    </row>
    <row r="104" spans="1:18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33"/>
    </row>
    <row r="105" spans="1:18" s="11" customFormat="1" ht="25.5" x14ac:dyDescent="0.2">
      <c r="A105" s="22"/>
      <c r="B105" s="22"/>
      <c r="C105" s="62" t="s">
        <v>18</v>
      </c>
      <c r="D105" s="65">
        <f t="shared" ref="D105:P105" si="5">SUM(D68:D104)</f>
        <v>403355.46</v>
      </c>
      <c r="E105" s="24">
        <f t="shared" si="5"/>
        <v>53763.08</v>
      </c>
      <c r="F105" s="24">
        <f t="shared" si="5"/>
        <v>11300</v>
      </c>
      <c r="G105" s="24">
        <f t="shared" si="5"/>
        <v>19836.95</v>
      </c>
      <c r="H105" s="24">
        <f t="shared" si="5"/>
        <v>26300</v>
      </c>
      <c r="I105" s="24">
        <f t="shared" si="5"/>
        <v>26300</v>
      </c>
      <c r="J105" s="24">
        <f t="shared" si="5"/>
        <v>26300</v>
      </c>
      <c r="K105" s="24">
        <f t="shared" si="5"/>
        <v>26300</v>
      </c>
      <c r="L105" s="24">
        <f t="shared" si="5"/>
        <v>33300</v>
      </c>
      <c r="M105" s="24">
        <f t="shared" si="5"/>
        <v>47300</v>
      </c>
      <c r="N105" s="24">
        <f t="shared" si="5"/>
        <v>20055.43</v>
      </c>
      <c r="O105" s="24">
        <f t="shared" si="5"/>
        <v>96300</v>
      </c>
      <c r="P105" s="24">
        <f t="shared" si="5"/>
        <v>16300</v>
      </c>
      <c r="Q105" s="30"/>
      <c r="R105" s="26"/>
    </row>
    <row r="106" spans="1:18" x14ac:dyDescent="0.2">
      <c r="A106" s="35"/>
      <c r="B106" s="35"/>
      <c r="C106" s="60"/>
      <c r="D106" s="36">
        <f t="shared" ref="D106:D118" si="6">SUM(E106:P106)</f>
        <v>543854.64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125">
        <v>543854.64</v>
      </c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7">SUM(D106:D106)</f>
        <v>543854.64</v>
      </c>
      <c r="E107" s="39">
        <f t="shared" si="7"/>
        <v>0</v>
      </c>
      <c r="F107" s="39">
        <f t="shared" si="7"/>
        <v>0</v>
      </c>
      <c r="G107" s="39">
        <f t="shared" si="7"/>
        <v>0</v>
      </c>
      <c r="H107" s="39">
        <f t="shared" si="7"/>
        <v>0</v>
      </c>
      <c r="I107" s="39">
        <f t="shared" si="7"/>
        <v>0</v>
      </c>
      <c r="J107" s="39">
        <f t="shared" si="7"/>
        <v>0</v>
      </c>
      <c r="K107" s="39">
        <f t="shared" si="7"/>
        <v>0</v>
      </c>
      <c r="L107" s="39">
        <f t="shared" si="7"/>
        <v>0</v>
      </c>
      <c r="M107" s="39">
        <f t="shared" si="7"/>
        <v>0</v>
      </c>
      <c r="N107" s="39">
        <f t="shared" si="7"/>
        <v>0</v>
      </c>
      <c r="O107" s="39">
        <f t="shared" si="7"/>
        <v>0</v>
      </c>
      <c r="P107" s="126">
        <f t="shared" si="7"/>
        <v>543854.64</v>
      </c>
      <c r="Q107" s="25"/>
    </row>
    <row r="108" spans="1:18" ht="25.5" x14ac:dyDescent="0.2">
      <c r="A108" s="35">
        <v>5151</v>
      </c>
      <c r="B108" s="35"/>
      <c r="C108" s="40" t="s">
        <v>144</v>
      </c>
      <c r="D108" s="69">
        <f t="shared" si="6"/>
        <v>0</v>
      </c>
      <c r="E108" s="70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8"/>
    </row>
    <row r="109" spans="1:18" x14ac:dyDescent="0.2">
      <c r="A109" s="127">
        <v>5611</v>
      </c>
      <c r="B109" s="127"/>
      <c r="C109" s="155" t="s">
        <v>146</v>
      </c>
      <c r="D109" s="69"/>
      <c r="E109" s="70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8"/>
    </row>
    <row r="110" spans="1:18" x14ac:dyDescent="0.2">
      <c r="A110" s="35">
        <v>5621</v>
      </c>
      <c r="B110" s="35"/>
      <c r="C110" s="60" t="s">
        <v>149</v>
      </c>
      <c r="D110" s="69"/>
      <c r="E110" s="70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8"/>
    </row>
    <row r="111" spans="1:18" x14ac:dyDescent="0.2">
      <c r="A111" s="35">
        <v>5911</v>
      </c>
      <c r="B111" s="35"/>
      <c r="C111" s="60" t="s">
        <v>145</v>
      </c>
      <c r="D111" s="69"/>
      <c r="E111" s="70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8"/>
    </row>
    <row r="112" spans="1:18" s="11" customFormat="1" ht="25.5" x14ac:dyDescent="0.2">
      <c r="A112" s="22"/>
      <c r="B112" s="22"/>
      <c r="C112" s="62" t="s">
        <v>118</v>
      </c>
      <c r="D112" s="23">
        <f t="shared" ref="D112:P112" si="8">SUM(D108:D108)</f>
        <v>0</v>
      </c>
      <c r="E112" s="41">
        <f t="shared" si="8"/>
        <v>0</v>
      </c>
      <c r="F112" s="39">
        <f t="shared" si="8"/>
        <v>0</v>
      </c>
      <c r="G112" s="39">
        <f t="shared" si="8"/>
        <v>0</v>
      </c>
      <c r="H112" s="39">
        <f t="shared" si="8"/>
        <v>0</v>
      </c>
      <c r="I112" s="39">
        <f t="shared" si="8"/>
        <v>0</v>
      </c>
      <c r="J112" s="39">
        <f t="shared" si="8"/>
        <v>0</v>
      </c>
      <c r="K112" s="39">
        <f t="shared" si="8"/>
        <v>0</v>
      </c>
      <c r="L112" s="39">
        <f t="shared" si="8"/>
        <v>0</v>
      </c>
      <c r="M112" s="39">
        <f t="shared" si="8"/>
        <v>0</v>
      </c>
      <c r="N112" s="39">
        <f t="shared" si="8"/>
        <v>0</v>
      </c>
      <c r="O112" s="39">
        <f t="shared" si="8"/>
        <v>0</v>
      </c>
      <c r="P112" s="39">
        <f t="shared" si="8"/>
        <v>0</v>
      </c>
      <c r="Q112" s="25"/>
    </row>
    <row r="113" spans="1:18" x14ac:dyDescent="0.2">
      <c r="A113" s="35"/>
      <c r="B113" s="35"/>
      <c r="C113" s="40"/>
      <c r="D113" s="36">
        <f t="shared" si="6"/>
        <v>0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8"/>
    </row>
    <row r="114" spans="1:18" x14ac:dyDescent="0.2">
      <c r="A114" s="127"/>
      <c r="B114" s="127"/>
      <c r="C114" s="155"/>
      <c r="D114" s="36">
        <f t="shared" si="6"/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125"/>
      <c r="Q114" s="38"/>
    </row>
    <row r="115" spans="1:18" x14ac:dyDescent="0.2">
      <c r="A115" s="35"/>
      <c r="B115" s="35"/>
      <c r="C115" s="60"/>
      <c r="D115" s="36">
        <f t="shared" si="6"/>
        <v>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8"/>
    </row>
    <row r="116" spans="1:18" x14ac:dyDescent="0.2">
      <c r="A116" s="35"/>
      <c r="B116" s="35"/>
      <c r="C116" s="60"/>
      <c r="D116" s="36">
        <f t="shared" si="6"/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8"/>
    </row>
    <row r="117" spans="1:18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39">
        <f t="shared" ref="E117:P117" si="9">SUM(E115:E116)</f>
        <v>0</v>
      </c>
      <c r="F117" s="39">
        <f t="shared" si="9"/>
        <v>0</v>
      </c>
      <c r="G117" s="39">
        <f t="shared" si="9"/>
        <v>0</v>
      </c>
      <c r="H117" s="39">
        <f t="shared" si="9"/>
        <v>0</v>
      </c>
      <c r="I117" s="39">
        <f t="shared" si="9"/>
        <v>0</v>
      </c>
      <c r="J117" s="39">
        <f t="shared" si="9"/>
        <v>0</v>
      </c>
      <c r="K117" s="39">
        <f t="shared" si="9"/>
        <v>0</v>
      </c>
      <c r="L117" s="39">
        <f t="shared" si="9"/>
        <v>0</v>
      </c>
      <c r="M117" s="39">
        <f t="shared" si="9"/>
        <v>0</v>
      </c>
      <c r="N117" s="39">
        <f t="shared" si="9"/>
        <v>0</v>
      </c>
      <c r="O117" s="39">
        <f t="shared" si="9"/>
        <v>0</v>
      </c>
      <c r="P117" s="39">
        <f t="shared" si="9"/>
        <v>0</v>
      </c>
      <c r="Q117" s="25"/>
      <c r="R117" s="26"/>
    </row>
    <row r="118" spans="1:18" x14ac:dyDescent="0.2">
      <c r="A118" s="35"/>
      <c r="B118" s="35"/>
      <c r="C118" s="60"/>
      <c r="D118" s="36">
        <f t="shared" si="6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35"/>
      <c r="C119" s="60"/>
      <c r="D119" s="36">
        <f t="shared" ref="D119" si="10">SUM(E119:P119)</f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2"/>
      <c r="C120" s="62" t="s">
        <v>120</v>
      </c>
      <c r="D120" s="23">
        <f t="shared" ref="D120:P120" si="11">SUM(D118:D119)</f>
        <v>0</v>
      </c>
      <c r="E120" s="39">
        <f t="shared" si="11"/>
        <v>0</v>
      </c>
      <c r="F120" s="39">
        <f t="shared" si="11"/>
        <v>0</v>
      </c>
      <c r="G120" s="39">
        <f t="shared" si="11"/>
        <v>0</v>
      </c>
      <c r="H120" s="39">
        <f t="shared" si="11"/>
        <v>0</v>
      </c>
      <c r="I120" s="39">
        <f t="shared" si="11"/>
        <v>0</v>
      </c>
      <c r="J120" s="39">
        <f t="shared" si="11"/>
        <v>0</v>
      </c>
      <c r="K120" s="39">
        <f t="shared" si="11"/>
        <v>0</v>
      </c>
      <c r="L120" s="39">
        <f t="shared" si="11"/>
        <v>0</v>
      </c>
      <c r="M120" s="39">
        <f t="shared" si="11"/>
        <v>0</v>
      </c>
      <c r="N120" s="39">
        <f t="shared" si="11"/>
        <v>0</v>
      </c>
      <c r="O120" s="39">
        <f t="shared" si="11"/>
        <v>0</v>
      </c>
      <c r="P120" s="39">
        <f t="shared" si="11"/>
        <v>0</v>
      </c>
      <c r="Q120" s="25"/>
    </row>
    <row r="121" spans="1:18" s="11" customFormat="1" ht="17.25" customHeight="1" x14ac:dyDescent="0.2">
      <c r="A121" s="188"/>
      <c r="B121" s="188"/>
      <c r="C121" s="189" t="s">
        <v>19</v>
      </c>
      <c r="D121" s="190">
        <f t="shared" ref="D121:P121" si="12">SUM(D120,D117,D112,D107,D105,D67,D28)</f>
        <v>8380946.1900000004</v>
      </c>
      <c r="E121" s="191">
        <f t="shared" si="12"/>
        <v>659602.32999999996</v>
      </c>
      <c r="F121" s="191">
        <f t="shared" si="12"/>
        <v>527822.54</v>
      </c>
      <c r="G121" s="191">
        <f t="shared" si="12"/>
        <v>563959.55999999994</v>
      </c>
      <c r="H121" s="191">
        <f t="shared" si="12"/>
        <v>538322.61</v>
      </c>
      <c r="I121" s="191">
        <f t="shared" si="12"/>
        <v>538622.61</v>
      </c>
      <c r="J121" s="191">
        <f t="shared" si="12"/>
        <v>536822.58000000007</v>
      </c>
      <c r="K121" s="191">
        <f t="shared" si="12"/>
        <v>538622.58000000007</v>
      </c>
      <c r="L121" s="191">
        <f t="shared" si="12"/>
        <v>584022.58000000007</v>
      </c>
      <c r="M121" s="191">
        <f t="shared" si="12"/>
        <v>742253.8</v>
      </c>
      <c r="N121" s="191">
        <f t="shared" si="12"/>
        <v>542878.01</v>
      </c>
      <c r="O121" s="191">
        <f t="shared" si="12"/>
        <v>598322.58000000007</v>
      </c>
      <c r="P121" s="191">
        <f t="shared" si="12"/>
        <v>2009694.4100000001</v>
      </c>
      <c r="Q121" s="192"/>
      <c r="R121" s="26"/>
    </row>
    <row r="126" spans="1:18" ht="48.75" customHeight="1" x14ac:dyDescent="0.2">
      <c r="C126" s="118" t="s">
        <v>130</v>
      </c>
      <c r="G126" s="1" t="s">
        <v>131</v>
      </c>
      <c r="L126" s="1" t="s">
        <v>133</v>
      </c>
    </row>
    <row r="127" spans="1:18" x14ac:dyDescent="0.2">
      <c r="C127" s="118" t="s">
        <v>177</v>
      </c>
      <c r="G127" s="1" t="s">
        <v>132</v>
      </c>
      <c r="L127" s="1" t="s">
        <v>134</v>
      </c>
    </row>
    <row r="131" spans="3:13" x14ac:dyDescent="0.2">
      <c r="D131" s="12"/>
      <c r="G131" s="42"/>
    </row>
    <row r="132" spans="3:13" x14ac:dyDescent="0.2">
      <c r="G132" s="42"/>
    </row>
    <row r="134" spans="3:13" x14ac:dyDescent="0.2">
      <c r="G134" s="44"/>
    </row>
    <row r="135" spans="3:13" x14ac:dyDescent="0.2">
      <c r="G135" s="44"/>
      <c r="H135" s="44"/>
      <c r="I135" s="44"/>
    </row>
    <row r="138" spans="3:13" x14ac:dyDescent="0.2">
      <c r="C138" s="119"/>
    </row>
    <row r="139" spans="3:13" x14ac:dyDescent="0.2">
      <c r="F139" s="44"/>
    </row>
    <row r="141" spans="3:13" x14ac:dyDescent="0.2">
      <c r="I141" s="42"/>
      <c r="J141" s="45"/>
      <c r="K141" s="44"/>
      <c r="L141" s="44"/>
      <c r="M141" s="44"/>
    </row>
    <row r="142" spans="3:13" x14ac:dyDescent="0.2">
      <c r="I142" s="42"/>
      <c r="J142" s="45"/>
      <c r="K142" s="44"/>
      <c r="L142" s="44"/>
      <c r="M142" s="44"/>
    </row>
    <row r="143" spans="3:13" x14ac:dyDescent="0.2">
      <c r="I143" s="42"/>
      <c r="J143" s="45"/>
      <c r="K143" s="44"/>
      <c r="L143" s="44"/>
      <c r="M143" s="44"/>
    </row>
    <row r="144" spans="3:13" x14ac:dyDescent="0.2">
      <c r="I144" s="42"/>
      <c r="J144" s="45"/>
      <c r="K144" s="44"/>
      <c r="L144" s="44"/>
      <c r="M144" s="44"/>
    </row>
    <row r="145" spans="9:13" x14ac:dyDescent="0.2">
      <c r="I145" s="42"/>
      <c r="J145" s="45"/>
      <c r="K145" s="44"/>
      <c r="L145" s="44"/>
      <c r="M145" s="44"/>
    </row>
    <row r="146" spans="9:13" x14ac:dyDescent="0.2">
      <c r="I146" s="42"/>
      <c r="J146" s="45"/>
      <c r="K146" s="44"/>
      <c r="L146" s="44"/>
      <c r="M146" s="44"/>
    </row>
    <row r="147" spans="9:13" x14ac:dyDescent="0.2">
      <c r="I147" s="42"/>
      <c r="J147" s="45"/>
      <c r="K147" s="44"/>
      <c r="L147" s="44"/>
      <c r="M147" s="44"/>
    </row>
    <row r="148" spans="9:13" x14ac:dyDescent="0.2">
      <c r="I148" s="42"/>
      <c r="J148" s="45"/>
      <c r="K148" s="44"/>
      <c r="L148" s="44"/>
      <c r="M148" s="44"/>
    </row>
    <row r="149" spans="9:13" x14ac:dyDescent="0.2">
      <c r="I149" s="42"/>
      <c r="J149" s="45"/>
      <c r="K149" s="44"/>
      <c r="L149" s="44"/>
      <c r="M149" s="44"/>
    </row>
    <row r="150" spans="9:13" x14ac:dyDescent="0.2">
      <c r="I150" s="42"/>
      <c r="J150" s="45"/>
      <c r="K150" s="44"/>
      <c r="L150" s="44"/>
      <c r="M150" s="44"/>
    </row>
    <row r="151" spans="9:13" x14ac:dyDescent="0.2">
      <c r="I151" s="42"/>
      <c r="J151" s="45"/>
      <c r="K151" s="44"/>
      <c r="L151" s="44"/>
      <c r="M151" s="44"/>
    </row>
    <row r="152" spans="9:13" x14ac:dyDescent="0.2">
      <c r="I152" s="42"/>
      <c r="J152" s="45"/>
      <c r="K152" s="44"/>
      <c r="L152" s="44"/>
      <c r="M152" s="44"/>
    </row>
    <row r="153" spans="9:13" x14ac:dyDescent="0.2">
      <c r="I153" s="42"/>
      <c r="J153" s="45"/>
      <c r="K153" s="44"/>
      <c r="L153" s="44"/>
      <c r="M153" s="44"/>
    </row>
    <row r="154" spans="9:13" x14ac:dyDescent="0.2">
      <c r="I154" s="42"/>
      <c r="J154" s="45"/>
      <c r="K154" s="44"/>
      <c r="L154" s="44"/>
      <c r="M154" s="44"/>
    </row>
    <row r="157" spans="9:13" x14ac:dyDescent="0.2">
      <c r="I157" s="44"/>
      <c r="J157" s="45"/>
      <c r="K157" s="44"/>
      <c r="L157" s="44"/>
    </row>
  </sheetData>
  <mergeCells count="12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 verticalCentered="1"/>
  <pageMargins left="0.43307086614173229" right="0.39370078740157483" top="0.31496062992125984" bottom="0.39370078740157483" header="0" footer="0"/>
  <pageSetup paperSize="5" scale="50" orientation="landscape" horizontalDpi="200" verticalDpi="200" r:id="rId1"/>
  <headerFooter alignWithMargins="0">
    <oddFooter>Página &amp;P de &amp;N</oddFooter>
  </headerFooter>
  <rowBreaks count="1" manualBreakCount="1">
    <brk id="66" max="16" man="1"/>
  </rowBreaks>
  <colBreaks count="1" manualBreakCount="1">
    <brk id="17" max="1048575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60"/>
  <sheetViews>
    <sheetView showGridLines="0" view="pageBreakPreview" topLeftCell="E1" zoomScale="60" zoomScaleNormal="50" workbookViewId="0">
      <selection activeCell="P27" sqref="P27"/>
    </sheetView>
  </sheetViews>
  <sheetFormatPr baseColWidth="10" defaultRowHeight="12.75" x14ac:dyDescent="0.2"/>
  <cols>
    <col min="1" max="2" width="6.28515625" style="1" bestFit="1" customWidth="1"/>
    <col min="3" max="3" width="37.7109375" style="57" customWidth="1"/>
    <col min="4" max="4" width="21.28515625" style="3" bestFit="1" customWidth="1"/>
    <col min="5" max="5" width="17.7109375" style="2" bestFit="1" customWidth="1"/>
    <col min="6" max="6" width="13" style="2" customWidth="1"/>
    <col min="7" max="7" width="13.42578125" style="2" customWidth="1"/>
    <col min="8" max="8" width="15.285156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39" style="43" customWidth="1"/>
    <col min="18" max="18" width="6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263</v>
      </c>
      <c r="V1" s="7"/>
      <c r="W1" s="7"/>
    </row>
    <row r="2" spans="1:23" ht="27" customHeight="1" x14ac:dyDescent="0.2">
      <c r="A2" s="8"/>
      <c r="B2" s="8"/>
      <c r="C2" s="58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136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9"/>
      <c r="D4" s="12"/>
      <c r="E4" s="11"/>
      <c r="F4" s="11"/>
      <c r="G4" s="11"/>
      <c r="H4" s="11"/>
      <c r="I4" s="11"/>
      <c r="J4" s="11"/>
      <c r="K4" s="11"/>
      <c r="M4" s="485" t="s">
        <v>198</v>
      </c>
      <c r="N4" s="485"/>
      <c r="O4" s="485"/>
      <c r="P4" s="485"/>
      <c r="Q4" s="485"/>
      <c r="V4" s="7"/>
      <c r="W4" s="7"/>
    </row>
    <row r="5" spans="1:23" ht="12.75" customHeight="1" x14ac:dyDescent="0.2">
      <c r="A5" s="11"/>
      <c r="B5" s="11"/>
      <c r="C5" s="59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476" t="s">
        <v>255</v>
      </c>
      <c r="D6" s="477"/>
      <c r="E6" s="477"/>
      <c r="F6" s="477"/>
      <c r="G6" s="477"/>
      <c r="H6" s="477"/>
      <c r="I6" s="477"/>
      <c r="J6" s="477"/>
      <c r="K6" s="11"/>
      <c r="M6" s="485" t="s">
        <v>23</v>
      </c>
      <c r="N6" s="485"/>
      <c r="O6" s="485"/>
      <c r="P6" s="485"/>
      <c r="Q6" s="485"/>
      <c r="V6" s="7"/>
      <c r="W6" s="7"/>
    </row>
    <row r="7" spans="1:23" ht="12.75" customHeight="1" x14ac:dyDescent="0.2">
      <c r="A7" s="11"/>
      <c r="B7" s="11"/>
      <c r="C7" s="477"/>
      <c r="D7" s="477"/>
      <c r="E7" s="477"/>
      <c r="F7" s="477"/>
      <c r="G7" s="477"/>
      <c r="H7" s="477"/>
      <c r="I7" s="477"/>
      <c r="J7" s="477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477"/>
      <c r="D8" s="477"/>
      <c r="E8" s="477"/>
      <c r="F8" s="477"/>
      <c r="G8" s="477"/>
      <c r="H8" s="477"/>
      <c r="I8" s="477"/>
      <c r="J8" s="477"/>
      <c r="K8" s="11"/>
      <c r="M8" s="485" t="s">
        <v>24</v>
      </c>
      <c r="N8" s="485"/>
      <c r="O8" s="485"/>
      <c r="P8" s="485"/>
      <c r="Q8" s="485"/>
      <c r="V8" s="7"/>
      <c r="W8" s="7"/>
    </row>
    <row r="9" spans="1:23" s="14" customFormat="1" ht="12.75" customHeight="1" x14ac:dyDescent="0.2">
      <c r="A9" s="11"/>
      <c r="B9" s="11"/>
      <c r="C9" s="59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479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x14ac:dyDescent="0.2">
      <c r="A13" s="53">
        <v>1131</v>
      </c>
      <c r="B13" s="19"/>
      <c r="C13" s="52" t="s">
        <v>28</v>
      </c>
      <c r="D13" s="61">
        <f>SUM(E13:P13)</f>
        <v>2611214.58</v>
      </c>
      <c r="E13" s="20">
        <v>210310.95</v>
      </c>
      <c r="F13" s="20">
        <v>210310.93</v>
      </c>
      <c r="G13" s="20">
        <v>210310.93</v>
      </c>
      <c r="H13" s="20">
        <v>210310.93</v>
      </c>
      <c r="I13" s="20">
        <v>210310.93</v>
      </c>
      <c r="J13" s="20">
        <v>210310.93</v>
      </c>
      <c r="K13" s="20">
        <v>210310.93</v>
      </c>
      <c r="L13" s="20">
        <v>210310.93</v>
      </c>
      <c r="M13" s="20">
        <v>210310.93</v>
      </c>
      <c r="N13" s="20">
        <v>210310.93</v>
      </c>
      <c r="O13" s="20">
        <v>210310.93</v>
      </c>
      <c r="P13" s="20">
        <f>210310.93+87483.4</f>
        <v>297794.32999999996</v>
      </c>
      <c r="Q13" s="486" t="s">
        <v>196</v>
      </c>
      <c r="R13" s="472"/>
    </row>
    <row r="14" spans="1:23" s="21" customFormat="1" x14ac:dyDescent="0.2">
      <c r="A14" s="53">
        <v>1211</v>
      </c>
      <c r="B14" s="19"/>
      <c r="C14" s="52" t="s">
        <v>29</v>
      </c>
      <c r="D14" s="61">
        <f t="shared" ref="D14:D27" si="0">SUM(E14:P14)</f>
        <v>1357118.85</v>
      </c>
      <c r="E14" s="20">
        <v>101154.56</v>
      </c>
      <c r="F14" s="20">
        <v>101154.56</v>
      </c>
      <c r="G14" s="20">
        <v>101154.56</v>
      </c>
      <c r="H14" s="20">
        <v>101154.56</v>
      </c>
      <c r="I14" s="20">
        <v>101154.56</v>
      </c>
      <c r="J14" s="20">
        <v>101154.56</v>
      </c>
      <c r="K14" s="20">
        <v>101154.56</v>
      </c>
      <c r="L14" s="20">
        <v>101154.56</v>
      </c>
      <c r="M14" s="20">
        <v>101154.56</v>
      </c>
      <c r="N14" s="20">
        <v>101154.56</v>
      </c>
      <c r="O14" s="20">
        <v>101154.56</v>
      </c>
      <c r="P14" s="20">
        <f>101154.56+143264.13</f>
        <v>244418.69</v>
      </c>
      <c r="Q14" s="487"/>
      <c r="R14" s="472"/>
    </row>
    <row r="15" spans="1:23" s="21" customFormat="1" ht="24" x14ac:dyDescent="0.2">
      <c r="A15" s="53">
        <v>1311</v>
      </c>
      <c r="B15" s="19"/>
      <c r="C15" s="52" t="s">
        <v>30</v>
      </c>
      <c r="D15" s="61">
        <f t="shared" si="0"/>
        <v>218863.83999999997</v>
      </c>
      <c r="E15" s="20">
        <v>18238.689999999999</v>
      </c>
      <c r="F15" s="20">
        <v>18238.650000000001</v>
      </c>
      <c r="G15" s="20">
        <v>18238.650000000001</v>
      </c>
      <c r="H15" s="20">
        <v>18238.650000000001</v>
      </c>
      <c r="I15" s="20">
        <v>18238.650000000001</v>
      </c>
      <c r="J15" s="20">
        <v>18238.650000000001</v>
      </c>
      <c r="K15" s="20">
        <v>18238.650000000001</v>
      </c>
      <c r="L15" s="20">
        <v>18238.650000000001</v>
      </c>
      <c r="M15" s="20">
        <v>18238.650000000001</v>
      </c>
      <c r="N15" s="20">
        <v>18238.650000000001</v>
      </c>
      <c r="O15" s="20">
        <v>18238.650000000001</v>
      </c>
      <c r="P15" s="20">
        <v>18238.650000000001</v>
      </c>
      <c r="Q15" s="487"/>
      <c r="R15" s="472"/>
    </row>
    <row r="16" spans="1:23" s="21" customFormat="1" x14ac:dyDescent="0.2">
      <c r="A16" s="53">
        <v>1321</v>
      </c>
      <c r="B16" s="19"/>
      <c r="C16" s="52" t="s">
        <v>31</v>
      </c>
      <c r="D16" s="61">
        <f t="shared" si="0"/>
        <v>249172.38999999996</v>
      </c>
      <c r="E16" s="20">
        <v>20764.32</v>
      </c>
      <c r="F16" s="20">
        <v>20764.37</v>
      </c>
      <c r="G16" s="20">
        <v>20764.37</v>
      </c>
      <c r="H16" s="20">
        <v>20764.37</v>
      </c>
      <c r="I16" s="20">
        <v>20764.37</v>
      </c>
      <c r="J16" s="20">
        <v>20764.37</v>
      </c>
      <c r="K16" s="20">
        <v>20764.37</v>
      </c>
      <c r="L16" s="20">
        <v>20764.37</v>
      </c>
      <c r="M16" s="20">
        <v>20764.37</v>
      </c>
      <c r="N16" s="20">
        <v>20764.37</v>
      </c>
      <c r="O16" s="20">
        <v>20764.37</v>
      </c>
      <c r="P16" s="20">
        <v>20764.37</v>
      </c>
      <c r="Q16" s="488"/>
      <c r="R16" s="472"/>
    </row>
    <row r="17" spans="1:20" s="21" customFormat="1" x14ac:dyDescent="0.2">
      <c r="A17" s="53">
        <v>1322</v>
      </c>
      <c r="B17" s="19"/>
      <c r="C17" s="52" t="s">
        <v>32</v>
      </c>
      <c r="D17" s="61">
        <f t="shared" si="0"/>
        <v>415287.32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>
        <v>415287.32</v>
      </c>
      <c r="Q17" s="171" t="s">
        <v>183</v>
      </c>
      <c r="R17" s="472"/>
    </row>
    <row r="18" spans="1:20" s="21" customFormat="1" x14ac:dyDescent="0.2">
      <c r="A18" s="53">
        <v>1343</v>
      </c>
      <c r="B18" s="19"/>
      <c r="C18" s="52" t="s">
        <v>33</v>
      </c>
      <c r="D18" s="61">
        <f t="shared" si="0"/>
        <v>40734.720000000001</v>
      </c>
      <c r="E18" s="20">
        <v>3394.56</v>
      </c>
      <c r="F18" s="20">
        <v>3394.56</v>
      </c>
      <c r="G18" s="20">
        <v>3394.56</v>
      </c>
      <c r="H18" s="20">
        <v>3394.56</v>
      </c>
      <c r="I18" s="20">
        <v>3394.56</v>
      </c>
      <c r="J18" s="20">
        <v>3394.56</v>
      </c>
      <c r="K18" s="20">
        <v>3394.56</v>
      </c>
      <c r="L18" s="20">
        <v>3394.56</v>
      </c>
      <c r="M18" s="20">
        <v>3394.56</v>
      </c>
      <c r="N18" s="20">
        <v>3394.56</v>
      </c>
      <c r="O18" s="20">
        <v>3394.56</v>
      </c>
      <c r="P18" s="20">
        <v>3394.56</v>
      </c>
      <c r="Q18" s="172"/>
      <c r="R18" s="472"/>
    </row>
    <row r="19" spans="1:20" s="21" customFormat="1" ht="24" x14ac:dyDescent="0.2">
      <c r="A19" s="53">
        <v>1411</v>
      </c>
      <c r="B19" s="19"/>
      <c r="C19" s="52" t="s">
        <v>34</v>
      </c>
      <c r="D19" s="61">
        <f t="shared" si="0"/>
        <v>322592.27999999997</v>
      </c>
      <c r="E19" s="20">
        <v>26882.69</v>
      </c>
      <c r="F19" s="20">
        <v>26882.69</v>
      </c>
      <c r="G19" s="20">
        <v>26882.69</v>
      </c>
      <c r="H19" s="20">
        <v>26882.69</v>
      </c>
      <c r="I19" s="20">
        <v>26882.69</v>
      </c>
      <c r="J19" s="20">
        <v>26882.69</v>
      </c>
      <c r="K19" s="20">
        <v>26882.69</v>
      </c>
      <c r="L19" s="20">
        <v>26882.69</v>
      </c>
      <c r="M19" s="20">
        <v>26882.69</v>
      </c>
      <c r="N19" s="20">
        <v>26882.69</v>
      </c>
      <c r="O19" s="20">
        <v>26882.69</v>
      </c>
      <c r="P19" s="20">
        <v>26882.69</v>
      </c>
      <c r="Q19" s="47"/>
      <c r="R19" s="472"/>
    </row>
    <row r="20" spans="1:20" s="21" customFormat="1" x14ac:dyDescent="0.2">
      <c r="A20" s="53">
        <v>1421</v>
      </c>
      <c r="B20" s="19"/>
      <c r="C20" s="52" t="s">
        <v>35</v>
      </c>
      <c r="D20" s="61">
        <f t="shared" si="0"/>
        <v>112127.57999999996</v>
      </c>
      <c r="E20" s="20">
        <v>9343.9699999999993</v>
      </c>
      <c r="F20" s="20">
        <v>9343.92</v>
      </c>
      <c r="G20" s="20">
        <v>9343.99</v>
      </c>
      <c r="H20" s="20">
        <v>9343.99</v>
      </c>
      <c r="I20" s="20">
        <v>9343.99</v>
      </c>
      <c r="J20" s="20">
        <v>9343.9599999999991</v>
      </c>
      <c r="K20" s="20">
        <v>9343.9599999999991</v>
      </c>
      <c r="L20" s="20">
        <v>9343.9599999999991</v>
      </c>
      <c r="M20" s="20">
        <v>9343.9599999999991</v>
      </c>
      <c r="N20" s="20">
        <v>9343.9599999999991</v>
      </c>
      <c r="O20" s="20">
        <v>9343.9599999999991</v>
      </c>
      <c r="P20" s="20">
        <v>9343.9599999999991</v>
      </c>
      <c r="Q20" s="47"/>
      <c r="R20" s="472"/>
    </row>
    <row r="21" spans="1:20" s="21" customFormat="1" x14ac:dyDescent="0.2">
      <c r="A21" s="53">
        <v>1431</v>
      </c>
      <c r="B21" s="19"/>
      <c r="C21" s="52" t="s">
        <v>36</v>
      </c>
      <c r="D21" s="61">
        <f t="shared" si="0"/>
        <v>392446.52</v>
      </c>
      <c r="E21" s="20">
        <v>32703.84</v>
      </c>
      <c r="F21" s="20">
        <v>32703.88</v>
      </c>
      <c r="G21" s="20">
        <v>32703.88</v>
      </c>
      <c r="H21" s="20">
        <v>32703.88</v>
      </c>
      <c r="I21" s="20">
        <v>32703.88</v>
      </c>
      <c r="J21" s="20">
        <v>32703.88</v>
      </c>
      <c r="K21" s="20">
        <v>32703.88</v>
      </c>
      <c r="L21" s="20">
        <v>32703.88</v>
      </c>
      <c r="M21" s="20">
        <v>32703.88</v>
      </c>
      <c r="N21" s="20">
        <v>32703.88</v>
      </c>
      <c r="O21" s="20">
        <v>32703.88</v>
      </c>
      <c r="P21" s="20">
        <v>32703.88</v>
      </c>
      <c r="Q21" s="47"/>
      <c r="R21" s="472"/>
    </row>
    <row r="22" spans="1:20" s="21" customFormat="1" ht="24" x14ac:dyDescent="0.2">
      <c r="A22" s="53">
        <v>1432</v>
      </c>
      <c r="B22" s="19"/>
      <c r="C22" s="52" t="s">
        <v>37</v>
      </c>
      <c r="D22" s="61">
        <f t="shared" si="0"/>
        <v>74751.719999999987</v>
      </c>
      <c r="E22" s="20">
        <v>6229.31</v>
      </c>
      <c r="F22" s="20">
        <v>6229.31</v>
      </c>
      <c r="G22" s="20">
        <v>6229.31</v>
      </c>
      <c r="H22" s="20">
        <v>6229.31</v>
      </c>
      <c r="I22" s="20">
        <v>6229.31</v>
      </c>
      <c r="J22" s="20">
        <v>6229.31</v>
      </c>
      <c r="K22" s="20">
        <v>6229.31</v>
      </c>
      <c r="L22" s="20">
        <v>6229.31</v>
      </c>
      <c r="M22" s="20">
        <v>6229.31</v>
      </c>
      <c r="N22" s="20">
        <v>6229.31</v>
      </c>
      <c r="O22" s="20">
        <v>6229.31</v>
      </c>
      <c r="P22" s="20">
        <v>6229.31</v>
      </c>
      <c r="Q22" s="170"/>
      <c r="R22" s="472"/>
    </row>
    <row r="23" spans="1:20" s="21" customFormat="1" x14ac:dyDescent="0.2">
      <c r="A23" s="53">
        <v>1543</v>
      </c>
      <c r="B23" s="19"/>
      <c r="C23" s="52" t="s">
        <v>38</v>
      </c>
      <c r="D23" s="61">
        <f t="shared" si="0"/>
        <v>151458</v>
      </c>
      <c r="E23" s="20">
        <v>12621.5</v>
      </c>
      <c r="F23" s="20">
        <v>12621.5</v>
      </c>
      <c r="G23" s="20">
        <v>12621.5</v>
      </c>
      <c r="H23" s="20">
        <v>12621.5</v>
      </c>
      <c r="I23" s="20">
        <v>12621.5</v>
      </c>
      <c r="J23" s="20">
        <v>12621.5</v>
      </c>
      <c r="K23" s="20">
        <v>12621.5</v>
      </c>
      <c r="L23" s="20">
        <v>12621.5</v>
      </c>
      <c r="M23" s="20">
        <v>12621.5</v>
      </c>
      <c r="N23" s="20">
        <v>12621.5</v>
      </c>
      <c r="O23" s="20">
        <v>12621.5</v>
      </c>
      <c r="P23" s="20">
        <v>12621.5</v>
      </c>
      <c r="Q23" s="47"/>
      <c r="R23" s="472"/>
    </row>
    <row r="24" spans="1:20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7"/>
      <c r="R24" s="472"/>
    </row>
    <row r="25" spans="1:20" s="21" customFormat="1" x14ac:dyDescent="0.2">
      <c r="A25" s="53">
        <v>1715</v>
      </c>
      <c r="B25" s="19"/>
      <c r="C25" s="52" t="s">
        <v>39</v>
      </c>
      <c r="D25" s="61">
        <f t="shared" si="0"/>
        <v>0</v>
      </c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47"/>
      <c r="R25" s="472"/>
    </row>
    <row r="26" spans="1:20" s="21" customFormat="1" x14ac:dyDescent="0.2">
      <c r="A26" s="53">
        <v>1719</v>
      </c>
      <c r="B26" s="19"/>
      <c r="C26" s="52" t="s">
        <v>40</v>
      </c>
      <c r="D26" s="61">
        <f t="shared" si="0"/>
        <v>388951.2</v>
      </c>
      <c r="E26" s="20">
        <v>24709.59</v>
      </c>
      <c r="F26" s="20">
        <v>24709.63</v>
      </c>
      <c r="G26" s="20">
        <v>24709.63</v>
      </c>
      <c r="H26" s="20">
        <v>24709.63</v>
      </c>
      <c r="I26" s="20">
        <v>24709.63</v>
      </c>
      <c r="J26" s="20">
        <v>24709.63</v>
      </c>
      <c r="K26" s="20">
        <v>24709.63</v>
      </c>
      <c r="L26" s="20">
        <v>24709.63</v>
      </c>
      <c r="M26" s="20">
        <v>24709.63</v>
      </c>
      <c r="N26" s="20">
        <v>24709.63</v>
      </c>
      <c r="O26" s="20">
        <v>24709.63</v>
      </c>
      <c r="P26" s="20">
        <f>24709.63+92435.68</f>
        <v>117145.31</v>
      </c>
      <c r="Q26" s="47"/>
      <c r="R26" s="472"/>
    </row>
    <row r="27" spans="1:20" s="21" customFormat="1" x14ac:dyDescent="0.2">
      <c r="A27" s="53">
        <v>1712</v>
      </c>
      <c r="B27" s="19"/>
      <c r="C27" s="52" t="s">
        <v>41</v>
      </c>
      <c r="D27" s="61">
        <f t="shared" si="0"/>
        <v>248022.53000000006</v>
      </c>
      <c r="E27" s="20">
        <v>20668.59</v>
      </c>
      <c r="F27" s="20">
        <v>20668.54</v>
      </c>
      <c r="G27" s="20">
        <v>20668.54</v>
      </c>
      <c r="H27" s="20">
        <v>20668.54</v>
      </c>
      <c r="I27" s="20">
        <v>20668.54</v>
      </c>
      <c r="J27" s="20">
        <v>20668.54</v>
      </c>
      <c r="K27" s="20">
        <v>20668.54</v>
      </c>
      <c r="L27" s="20">
        <v>20668.54</v>
      </c>
      <c r="M27" s="20">
        <v>20668.54</v>
      </c>
      <c r="N27" s="20">
        <v>20668.54</v>
      </c>
      <c r="O27" s="20">
        <v>20668.54</v>
      </c>
      <c r="P27" s="20">
        <v>20668.54</v>
      </c>
      <c r="Q27" s="47"/>
      <c r="R27" s="472"/>
    </row>
    <row r="28" spans="1:20" s="11" customFormat="1" ht="25.5" x14ac:dyDescent="0.2">
      <c r="A28" s="22"/>
      <c r="B28" s="22"/>
      <c r="C28" s="62" t="s">
        <v>16</v>
      </c>
      <c r="D28" s="65">
        <f t="shared" ref="D28:P28" si="1">SUM(D13:D27)</f>
        <v>6582741.5300000003</v>
      </c>
      <c r="E28" s="24">
        <f t="shared" si="1"/>
        <v>487022.57000000007</v>
      </c>
      <c r="F28" s="24">
        <f t="shared" si="1"/>
        <v>487022.54</v>
      </c>
      <c r="G28" s="24">
        <f t="shared" si="1"/>
        <v>487022.61</v>
      </c>
      <c r="H28" s="24">
        <f t="shared" si="1"/>
        <v>487022.61</v>
      </c>
      <c r="I28" s="24">
        <f t="shared" si="1"/>
        <v>487022.61</v>
      </c>
      <c r="J28" s="24">
        <f t="shared" si="1"/>
        <v>487022.58</v>
      </c>
      <c r="K28" s="24">
        <f t="shared" si="1"/>
        <v>487022.58</v>
      </c>
      <c r="L28" s="24">
        <f t="shared" si="1"/>
        <v>487022.58</v>
      </c>
      <c r="M28" s="24">
        <f t="shared" si="1"/>
        <v>487022.58</v>
      </c>
      <c r="N28" s="24">
        <f t="shared" si="1"/>
        <v>487022.58</v>
      </c>
      <c r="O28" s="24">
        <f t="shared" si="1"/>
        <v>487022.58</v>
      </c>
      <c r="P28" s="24">
        <f t="shared" si="1"/>
        <v>1225493.1100000001</v>
      </c>
      <c r="Q28" s="25" t="s">
        <v>79</v>
      </c>
      <c r="R28" s="26"/>
      <c r="T28" s="46"/>
    </row>
    <row r="29" spans="1:20" s="21" customFormat="1" ht="24" x14ac:dyDescent="0.2">
      <c r="A29" s="54">
        <v>2111</v>
      </c>
      <c r="B29" s="64"/>
      <c r="C29" s="49" t="s">
        <v>42</v>
      </c>
      <c r="D29" s="61">
        <f t="shared" ref="D29:D92" si="2">SUM(E29:P29)</f>
        <v>40000</v>
      </c>
      <c r="E29" s="28">
        <v>10000</v>
      </c>
      <c r="F29" s="29"/>
      <c r="G29" s="29"/>
      <c r="H29" s="29"/>
      <c r="I29" s="28">
        <v>10000</v>
      </c>
      <c r="J29" s="29"/>
      <c r="K29" s="29"/>
      <c r="L29" s="28">
        <v>10000</v>
      </c>
      <c r="M29" s="29"/>
      <c r="N29" s="28">
        <v>10000</v>
      </c>
      <c r="O29" s="29"/>
      <c r="P29" s="29"/>
      <c r="Q29" s="30"/>
    </row>
    <row r="30" spans="1:20" s="21" customFormat="1" ht="24" x14ac:dyDescent="0.2">
      <c r="A30" s="54">
        <v>2121</v>
      </c>
      <c r="B30" s="64"/>
      <c r="C30" s="49" t="s">
        <v>123</v>
      </c>
      <c r="D30" s="61">
        <f t="shared" si="2"/>
        <v>4500</v>
      </c>
      <c r="E30" s="28"/>
      <c r="F30" s="29">
        <v>1000</v>
      </c>
      <c r="G30" s="29"/>
      <c r="H30" s="29"/>
      <c r="I30" s="29">
        <v>1000</v>
      </c>
      <c r="J30" s="29"/>
      <c r="K30" s="29"/>
      <c r="L30" s="29">
        <v>2500</v>
      </c>
      <c r="M30" s="29"/>
      <c r="N30" s="29"/>
      <c r="O30" s="29"/>
      <c r="P30" s="29"/>
      <c r="Q30" s="175" t="s">
        <v>181</v>
      </c>
    </row>
    <row r="31" spans="1:20" s="21" customFormat="1" ht="36" x14ac:dyDescent="0.2">
      <c r="A31" s="54">
        <v>2141</v>
      </c>
      <c r="B31" s="64"/>
      <c r="C31" s="49" t="s">
        <v>43</v>
      </c>
      <c r="D31" s="61">
        <f t="shared" si="2"/>
        <v>43000</v>
      </c>
      <c r="E31" s="28">
        <v>20000</v>
      </c>
      <c r="F31" s="28"/>
      <c r="G31" s="28">
        <v>5600</v>
      </c>
      <c r="H31" s="28"/>
      <c r="I31" s="28">
        <v>5800</v>
      </c>
      <c r="J31" s="28"/>
      <c r="K31" s="28">
        <v>5800</v>
      </c>
      <c r="L31" s="28"/>
      <c r="M31" s="28"/>
      <c r="N31" s="28">
        <v>5800</v>
      </c>
      <c r="O31" s="28"/>
      <c r="P31" s="28"/>
      <c r="Q31" s="175" t="s">
        <v>192</v>
      </c>
    </row>
    <row r="32" spans="1:20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28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489" t="s">
        <v>182</v>
      </c>
    </row>
    <row r="33" spans="1:17" s="21" customFormat="1" ht="14.25" x14ac:dyDescent="0.2">
      <c r="A33" s="54">
        <v>2161</v>
      </c>
      <c r="B33" s="64"/>
      <c r="C33" s="49" t="s">
        <v>45</v>
      </c>
      <c r="D33" s="61">
        <f t="shared" si="2"/>
        <v>30000</v>
      </c>
      <c r="E33" s="28">
        <v>2500</v>
      </c>
      <c r="F33" s="29"/>
      <c r="G33" s="28">
        <v>2500</v>
      </c>
      <c r="H33" s="29">
        <v>3000</v>
      </c>
      <c r="I33" s="28">
        <v>2500</v>
      </c>
      <c r="J33" s="29">
        <v>3000</v>
      </c>
      <c r="K33" s="28">
        <v>2500</v>
      </c>
      <c r="L33" s="29">
        <v>3000</v>
      </c>
      <c r="M33" s="28">
        <v>2500</v>
      </c>
      <c r="N33" s="29">
        <v>3000</v>
      </c>
      <c r="O33" s="28">
        <v>2500</v>
      </c>
      <c r="P33" s="29">
        <v>3000</v>
      </c>
      <c r="Q33" s="490"/>
    </row>
    <row r="34" spans="1:17" s="21" customFormat="1" ht="14.25" x14ac:dyDescent="0.2">
      <c r="A34" s="54">
        <v>2171</v>
      </c>
      <c r="B34" s="64"/>
      <c r="C34" s="49" t="s">
        <v>46</v>
      </c>
      <c r="D34" s="61">
        <f t="shared" si="2"/>
        <v>4000</v>
      </c>
      <c r="E34" s="28">
        <v>2000</v>
      </c>
      <c r="F34" s="29"/>
      <c r="G34" s="29"/>
      <c r="H34" s="29"/>
      <c r="I34" s="29"/>
      <c r="J34" s="29"/>
      <c r="K34" s="29"/>
      <c r="L34" s="29">
        <v>2000</v>
      </c>
      <c r="M34" s="29"/>
      <c r="N34" s="29"/>
      <c r="O34" s="29"/>
      <c r="P34" s="29"/>
      <c r="Q34" s="491"/>
    </row>
    <row r="35" spans="1:17" s="21" customFormat="1" ht="24" x14ac:dyDescent="0.2">
      <c r="A35" s="54">
        <v>2211</v>
      </c>
      <c r="B35" s="64"/>
      <c r="C35" s="49" t="s">
        <v>47</v>
      </c>
      <c r="D35" s="61">
        <f t="shared" si="2"/>
        <v>25000</v>
      </c>
      <c r="E35" s="28">
        <v>5000</v>
      </c>
      <c r="F35" s="28"/>
      <c r="G35" s="28">
        <v>5000</v>
      </c>
      <c r="H35" s="28"/>
      <c r="I35" s="28"/>
      <c r="J35" s="28">
        <v>5000</v>
      </c>
      <c r="K35" s="28"/>
      <c r="L35" s="28">
        <v>5000</v>
      </c>
      <c r="M35" s="28"/>
      <c r="N35" s="28">
        <v>5000</v>
      </c>
      <c r="O35" s="28"/>
      <c r="P35" s="28"/>
      <c r="Q35" s="30"/>
    </row>
    <row r="36" spans="1:17" s="21" customFormat="1" ht="14.25" x14ac:dyDescent="0.2">
      <c r="A36" s="54">
        <v>2221</v>
      </c>
      <c r="B36" s="64"/>
      <c r="C36" s="49" t="s">
        <v>48</v>
      </c>
      <c r="D36" s="61">
        <f t="shared" si="2"/>
        <v>2000</v>
      </c>
      <c r="E36" s="28"/>
      <c r="F36" s="29">
        <v>500</v>
      </c>
      <c r="G36" s="29"/>
      <c r="H36" s="29"/>
      <c r="I36" s="29">
        <v>500</v>
      </c>
      <c r="J36" s="29"/>
      <c r="K36" s="29"/>
      <c r="L36" s="29">
        <v>500</v>
      </c>
      <c r="M36" s="29"/>
      <c r="N36" s="29"/>
      <c r="O36" s="29">
        <v>500</v>
      </c>
      <c r="P36" s="29"/>
      <c r="Q36" s="30"/>
    </row>
    <row r="37" spans="1:17" s="21" customFormat="1" ht="14.25" x14ac:dyDescent="0.2">
      <c r="A37" s="54">
        <v>2231</v>
      </c>
      <c r="B37" s="64"/>
      <c r="C37" s="49" t="s">
        <v>49</v>
      </c>
      <c r="D37" s="61">
        <f t="shared" si="2"/>
        <v>5500</v>
      </c>
      <c r="E37" s="28">
        <v>500</v>
      </c>
      <c r="F37" s="29">
        <v>5000</v>
      </c>
      <c r="G37" s="29"/>
      <c r="H37" s="29"/>
      <c r="I37" s="29"/>
      <c r="J37" s="29"/>
      <c r="K37" s="29"/>
      <c r="L37" s="117"/>
      <c r="M37" s="29"/>
      <c r="N37" s="29"/>
      <c r="O37" s="29"/>
      <c r="P37" s="29"/>
      <c r="Q37" s="30"/>
    </row>
    <row r="38" spans="1:17" s="21" customFormat="1" ht="22.5" x14ac:dyDescent="0.2">
      <c r="A38" s="54">
        <v>2411</v>
      </c>
      <c r="B38" s="64"/>
      <c r="C38" s="49" t="s">
        <v>50</v>
      </c>
      <c r="D38" s="61">
        <f t="shared" si="2"/>
        <v>8000</v>
      </c>
      <c r="E38" s="28"/>
      <c r="F38" s="29"/>
      <c r="G38" s="29">
        <v>1000</v>
      </c>
      <c r="H38" s="29"/>
      <c r="I38" s="29"/>
      <c r="J38" s="29"/>
      <c r="K38" s="29"/>
      <c r="L38" s="117">
        <v>7000</v>
      </c>
      <c r="M38" s="29"/>
      <c r="N38" s="29"/>
      <c r="O38" s="29"/>
      <c r="P38" s="29"/>
      <c r="Q38" s="177" t="s">
        <v>195</v>
      </c>
    </row>
    <row r="39" spans="1:17" s="21" customFormat="1" ht="14.25" x14ac:dyDescent="0.2">
      <c r="A39" s="54">
        <v>2421</v>
      </c>
      <c r="B39" s="64"/>
      <c r="C39" s="49" t="s">
        <v>51</v>
      </c>
      <c r="D39" s="61">
        <f t="shared" si="2"/>
        <v>1000</v>
      </c>
      <c r="E39" s="28"/>
      <c r="F39" s="29"/>
      <c r="G39" s="29">
        <v>1000</v>
      </c>
      <c r="H39" s="29"/>
      <c r="I39" s="29"/>
      <c r="J39" s="29"/>
      <c r="K39" s="29"/>
      <c r="L39" s="117"/>
      <c r="M39" s="29"/>
      <c r="N39" s="29"/>
      <c r="O39" s="29"/>
      <c r="P39" s="29"/>
      <c r="Q39" s="173"/>
    </row>
    <row r="40" spans="1:17" s="21" customFormat="1" ht="14.25" x14ac:dyDescent="0.2">
      <c r="A40" s="54">
        <v>2431</v>
      </c>
      <c r="B40" s="64"/>
      <c r="C40" s="49" t="s">
        <v>52</v>
      </c>
      <c r="D40" s="61">
        <f t="shared" si="2"/>
        <v>6000</v>
      </c>
      <c r="E40" s="28"/>
      <c r="F40" s="29"/>
      <c r="G40" s="29">
        <v>1000</v>
      </c>
      <c r="H40" s="29"/>
      <c r="I40" s="29"/>
      <c r="J40" s="117"/>
      <c r="K40" s="29"/>
      <c r="L40" s="117">
        <v>5000</v>
      </c>
      <c r="M40" s="29"/>
      <c r="N40" s="29"/>
      <c r="O40" s="29"/>
      <c r="P40" s="29"/>
      <c r="Q40" s="175" t="s">
        <v>186</v>
      </c>
    </row>
    <row r="41" spans="1:17" s="21" customFormat="1" ht="14.25" x14ac:dyDescent="0.2">
      <c r="A41" s="54">
        <v>2441</v>
      </c>
      <c r="B41" s="64"/>
      <c r="C41" s="49" t="s">
        <v>53</v>
      </c>
      <c r="D41" s="61">
        <f t="shared" si="2"/>
        <v>1000</v>
      </c>
      <c r="E41" s="28"/>
      <c r="F41" s="29"/>
      <c r="G41" s="29">
        <v>1000</v>
      </c>
      <c r="H41" s="29"/>
      <c r="I41" s="29"/>
      <c r="J41" s="29"/>
      <c r="K41" s="29"/>
      <c r="L41" s="117"/>
      <c r="M41" s="29"/>
      <c r="N41" s="29"/>
      <c r="O41" s="29"/>
      <c r="P41" s="29"/>
      <c r="Q41" s="30"/>
    </row>
    <row r="42" spans="1:17" s="21" customFormat="1" ht="14.25" x14ac:dyDescent="0.2">
      <c r="A42" s="54">
        <v>2451</v>
      </c>
      <c r="B42" s="64"/>
      <c r="C42" s="49" t="s">
        <v>54</v>
      </c>
      <c r="D42" s="61">
        <f t="shared" si="2"/>
        <v>3000</v>
      </c>
      <c r="E42" s="28">
        <v>1000</v>
      </c>
      <c r="F42" s="29"/>
      <c r="G42" s="29"/>
      <c r="H42" s="29"/>
      <c r="I42" s="29"/>
      <c r="J42" s="29"/>
      <c r="K42" s="29">
        <v>1000</v>
      </c>
      <c r="L42" s="117"/>
      <c r="M42" s="29"/>
      <c r="N42" s="29">
        <v>1000</v>
      </c>
      <c r="O42" s="29"/>
      <c r="P42" s="29"/>
      <c r="Q42" s="30"/>
    </row>
    <row r="43" spans="1:17" s="34" customFormat="1" ht="14.25" x14ac:dyDescent="0.2">
      <c r="A43" s="54">
        <v>2461</v>
      </c>
      <c r="B43" s="64"/>
      <c r="C43" s="49" t="s">
        <v>55</v>
      </c>
      <c r="D43" s="61">
        <f t="shared" si="2"/>
        <v>10000</v>
      </c>
      <c r="E43" s="28">
        <v>10000</v>
      </c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47"/>
    </row>
    <row r="44" spans="1:17" s="21" customFormat="1" ht="14.25" x14ac:dyDescent="0.2">
      <c r="A44" s="55">
        <v>2471</v>
      </c>
      <c r="B44" s="31"/>
      <c r="C44" s="49" t="s">
        <v>56</v>
      </c>
      <c r="D44" s="61">
        <f t="shared" si="2"/>
        <v>3000</v>
      </c>
      <c r="E44" s="28"/>
      <c r="F44" s="29"/>
      <c r="G44" s="29"/>
      <c r="H44" s="29">
        <v>1000</v>
      </c>
      <c r="I44" s="29"/>
      <c r="J44" s="29">
        <v>1000</v>
      </c>
      <c r="K44" s="29"/>
      <c r="L44" s="117">
        <v>1000</v>
      </c>
      <c r="M44" s="29"/>
      <c r="N44" s="29"/>
      <c r="O44" s="29"/>
      <c r="P44" s="29"/>
      <c r="Q44" s="176"/>
    </row>
    <row r="45" spans="1:17" s="21" customFormat="1" ht="14.25" x14ac:dyDescent="0.2">
      <c r="A45" s="55">
        <v>2481</v>
      </c>
      <c r="B45" s="31"/>
      <c r="C45" s="49" t="s">
        <v>57</v>
      </c>
      <c r="D45" s="61">
        <f t="shared" si="2"/>
        <v>12000</v>
      </c>
      <c r="E45" s="28"/>
      <c r="F45" s="28">
        <v>1000</v>
      </c>
      <c r="G45" s="29"/>
      <c r="H45" s="29"/>
      <c r="I45" s="29"/>
      <c r="J45" s="29"/>
      <c r="K45" s="29">
        <v>1000</v>
      </c>
      <c r="L45" s="117">
        <v>10000</v>
      </c>
      <c r="M45" s="29"/>
      <c r="N45" s="29"/>
      <c r="O45" s="29"/>
      <c r="P45" s="29"/>
      <c r="Q45" s="175" t="s">
        <v>184</v>
      </c>
    </row>
    <row r="46" spans="1:17" s="21" customFormat="1" ht="24" x14ac:dyDescent="0.2">
      <c r="A46" s="54">
        <v>2491</v>
      </c>
      <c r="B46" s="64"/>
      <c r="C46" s="49" t="s">
        <v>58</v>
      </c>
      <c r="D46" s="61">
        <f t="shared" si="2"/>
        <v>9000</v>
      </c>
      <c r="E46" s="28"/>
      <c r="F46" s="28">
        <v>1000</v>
      </c>
      <c r="G46" s="28"/>
      <c r="H46" s="28">
        <v>1000</v>
      </c>
      <c r="I46" s="28"/>
      <c r="J46" s="28">
        <v>1000</v>
      </c>
      <c r="K46" s="28"/>
      <c r="L46" s="28">
        <v>5000</v>
      </c>
      <c r="M46" s="28"/>
      <c r="N46" s="28">
        <v>1000</v>
      </c>
      <c r="O46" s="28"/>
      <c r="P46" s="28"/>
      <c r="Q46" s="175" t="s">
        <v>185</v>
      </c>
    </row>
    <row r="47" spans="1:17" s="21" customFormat="1" ht="14.25" x14ac:dyDescent="0.2">
      <c r="A47" s="54">
        <v>2511</v>
      </c>
      <c r="B47" s="64"/>
      <c r="C47" s="49" t="s">
        <v>59</v>
      </c>
      <c r="D47" s="61">
        <f t="shared" si="2"/>
        <v>20000</v>
      </c>
      <c r="E47" s="28"/>
      <c r="F47" s="29"/>
      <c r="G47" s="28">
        <v>20000</v>
      </c>
      <c r="H47" s="29"/>
      <c r="I47" s="29"/>
      <c r="J47" s="29"/>
      <c r="K47" s="28"/>
      <c r="L47" s="29"/>
      <c r="M47" s="29"/>
      <c r="N47" s="29"/>
      <c r="O47" s="29"/>
      <c r="P47" s="29"/>
      <c r="Q47" s="176"/>
    </row>
    <row r="48" spans="1:17" s="21" customFormat="1" ht="14.25" x14ac:dyDescent="0.2">
      <c r="A48" s="54">
        <v>2521</v>
      </c>
      <c r="B48" s="64"/>
      <c r="C48" s="49" t="s">
        <v>60</v>
      </c>
      <c r="D48" s="61">
        <f t="shared" si="2"/>
        <v>7200</v>
      </c>
      <c r="E48" s="28"/>
      <c r="F48" s="28"/>
      <c r="G48" s="28"/>
      <c r="H48" s="28"/>
      <c r="I48" s="28"/>
      <c r="J48" s="28"/>
      <c r="K48" s="28"/>
      <c r="L48" s="28">
        <v>7200</v>
      </c>
      <c r="M48" s="28"/>
      <c r="N48" s="28"/>
      <c r="O48" s="28"/>
      <c r="P48" s="28"/>
      <c r="Q48" s="30"/>
    </row>
    <row r="49" spans="1:17" s="21" customFormat="1" ht="14.25" x14ac:dyDescent="0.2">
      <c r="A49" s="54">
        <v>2531</v>
      </c>
      <c r="B49" s="64"/>
      <c r="C49" s="49" t="s">
        <v>61</v>
      </c>
      <c r="D49" s="61">
        <f t="shared" si="2"/>
        <v>2000</v>
      </c>
      <c r="E49" s="28">
        <v>1000</v>
      </c>
      <c r="F49" s="29"/>
      <c r="G49" s="29"/>
      <c r="H49" s="29"/>
      <c r="I49" s="29"/>
      <c r="J49" s="29"/>
      <c r="K49" s="29"/>
      <c r="L49" s="28">
        <v>1000</v>
      </c>
      <c r="M49" s="29"/>
      <c r="N49" s="29"/>
      <c r="O49" s="29"/>
      <c r="P49" s="29"/>
      <c r="Q49" s="30"/>
    </row>
    <row r="50" spans="1:17" s="21" customFormat="1" ht="24" x14ac:dyDescent="0.2">
      <c r="A50" s="54">
        <v>2541</v>
      </c>
      <c r="B50" s="64"/>
      <c r="C50" s="49" t="s">
        <v>62</v>
      </c>
      <c r="D50" s="61">
        <f t="shared" si="2"/>
        <v>3000</v>
      </c>
      <c r="E50" s="28">
        <v>3000</v>
      </c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s="21" customFormat="1" ht="24" x14ac:dyDescent="0.2">
      <c r="A51" s="54">
        <v>2551</v>
      </c>
      <c r="B51" s="64"/>
      <c r="C51" s="49" t="s">
        <v>63</v>
      </c>
      <c r="D51" s="61">
        <f t="shared" si="2"/>
        <v>18000</v>
      </c>
      <c r="E51" s="28"/>
      <c r="F51" s="29"/>
      <c r="G51" s="29">
        <v>5000</v>
      </c>
      <c r="H51" s="29">
        <v>6000</v>
      </c>
      <c r="I51" s="29"/>
      <c r="J51" s="29"/>
      <c r="K51" s="29"/>
      <c r="L51" s="29">
        <v>5000</v>
      </c>
      <c r="M51" s="29"/>
      <c r="N51" s="29">
        <v>2000</v>
      </c>
      <c r="O51" s="29"/>
      <c r="P51" s="29"/>
      <c r="Q51" s="30"/>
    </row>
    <row r="52" spans="1:17" s="21" customFormat="1" ht="14.25" x14ac:dyDescent="0.2">
      <c r="A52" s="54">
        <v>2561</v>
      </c>
      <c r="B52" s="64"/>
      <c r="C52" s="49" t="s">
        <v>64</v>
      </c>
      <c r="D52" s="61">
        <f t="shared" si="2"/>
        <v>9000</v>
      </c>
      <c r="E52" s="28"/>
      <c r="F52" s="29">
        <v>1500</v>
      </c>
      <c r="G52" s="29"/>
      <c r="H52" s="29"/>
      <c r="I52" s="28"/>
      <c r="J52" s="29"/>
      <c r="K52" s="29"/>
      <c r="L52" s="28">
        <v>2500</v>
      </c>
      <c r="M52" s="29"/>
      <c r="N52" s="29"/>
      <c r="O52" s="28">
        <v>5000</v>
      </c>
      <c r="P52" s="29"/>
      <c r="Q52" s="30"/>
    </row>
    <row r="53" spans="1:17" s="21" customFormat="1" ht="14.25" x14ac:dyDescent="0.2">
      <c r="A53" s="54">
        <v>2591</v>
      </c>
      <c r="B53" s="64"/>
      <c r="C53" s="49" t="s">
        <v>65</v>
      </c>
      <c r="D53" s="61">
        <f t="shared" si="2"/>
        <v>20000</v>
      </c>
      <c r="E53" s="28">
        <v>15000</v>
      </c>
      <c r="F53" s="29"/>
      <c r="G53" s="29"/>
      <c r="H53" s="29"/>
      <c r="I53" s="29"/>
      <c r="J53" s="29"/>
      <c r="K53" s="29"/>
      <c r="L53" s="29">
        <v>5000</v>
      </c>
      <c r="M53" s="29"/>
      <c r="N53" s="29"/>
      <c r="O53" s="29"/>
      <c r="P53" s="29"/>
      <c r="Q53" s="30"/>
    </row>
    <row r="54" spans="1:17" s="21" customFormat="1" ht="14.25" x14ac:dyDescent="0.2">
      <c r="A54" s="54">
        <v>2611</v>
      </c>
      <c r="B54" s="64"/>
      <c r="C54" s="49" t="s">
        <v>66</v>
      </c>
      <c r="D54" s="61">
        <f t="shared" si="2"/>
        <v>62000</v>
      </c>
      <c r="E54" s="28">
        <v>4000</v>
      </c>
      <c r="F54" s="28">
        <v>5000</v>
      </c>
      <c r="G54" s="28">
        <v>5000</v>
      </c>
      <c r="H54" s="28">
        <v>5000</v>
      </c>
      <c r="I54" s="28">
        <v>5000</v>
      </c>
      <c r="J54" s="28">
        <v>6000</v>
      </c>
      <c r="K54" s="28">
        <v>6000</v>
      </c>
      <c r="L54" s="28">
        <v>4000</v>
      </c>
      <c r="M54" s="28">
        <v>6000</v>
      </c>
      <c r="N54" s="28">
        <v>6000</v>
      </c>
      <c r="O54" s="28">
        <v>6000</v>
      </c>
      <c r="P54" s="28">
        <v>4000</v>
      </c>
      <c r="Q54" s="30"/>
    </row>
    <row r="55" spans="1:17" s="21" customFormat="1" ht="14.25" x14ac:dyDescent="0.2">
      <c r="A55" s="54">
        <v>2612</v>
      </c>
      <c r="B55" s="64"/>
      <c r="C55" s="49" t="s">
        <v>67</v>
      </c>
      <c r="D55" s="61">
        <f t="shared" si="2"/>
        <v>5500</v>
      </c>
      <c r="E55" s="28">
        <v>1500</v>
      </c>
      <c r="F55" s="29"/>
      <c r="G55" s="29"/>
      <c r="H55" s="29">
        <v>1000</v>
      </c>
      <c r="I55" s="29"/>
      <c r="J55" s="29">
        <v>1000</v>
      </c>
      <c r="K55" s="29"/>
      <c r="L55" s="29">
        <v>1000</v>
      </c>
      <c r="M55" s="29"/>
      <c r="N55" s="29"/>
      <c r="O55" s="29">
        <v>1000</v>
      </c>
      <c r="P55" s="29"/>
      <c r="Q55" s="30"/>
    </row>
    <row r="56" spans="1:17" s="21" customFormat="1" ht="14.25" x14ac:dyDescent="0.2">
      <c r="A56" s="54">
        <v>2711</v>
      </c>
      <c r="B56" s="64"/>
      <c r="C56" s="49" t="s">
        <v>68</v>
      </c>
      <c r="D56" s="61">
        <f t="shared" si="2"/>
        <v>3000</v>
      </c>
      <c r="E56" s="28"/>
      <c r="F56" s="29">
        <v>1000</v>
      </c>
      <c r="G56" s="29"/>
      <c r="H56" s="29"/>
      <c r="I56" s="29"/>
      <c r="J56" s="29"/>
      <c r="K56" s="29"/>
      <c r="L56" s="29">
        <v>2000</v>
      </c>
      <c r="M56" s="29"/>
      <c r="N56" s="29"/>
      <c r="O56" s="29"/>
      <c r="P56" s="29"/>
      <c r="Q56" s="30"/>
    </row>
    <row r="57" spans="1:17" s="21" customFormat="1" ht="14.25" x14ac:dyDescent="0.2">
      <c r="A57" s="54">
        <v>2721</v>
      </c>
      <c r="B57" s="64"/>
      <c r="C57" s="49" t="s">
        <v>69</v>
      </c>
      <c r="D57" s="61">
        <f t="shared" si="2"/>
        <v>6000</v>
      </c>
      <c r="E57" s="28">
        <v>0</v>
      </c>
      <c r="F57" s="29"/>
      <c r="G57" s="29">
        <v>3000</v>
      </c>
      <c r="H57" s="29">
        <v>3000</v>
      </c>
      <c r="I57" s="29"/>
      <c r="J57" s="29"/>
      <c r="K57" s="29"/>
      <c r="L57" s="29"/>
      <c r="M57" s="29"/>
      <c r="N57" s="29"/>
      <c r="O57" s="29"/>
      <c r="P57" s="29"/>
      <c r="Q57" s="30"/>
    </row>
    <row r="58" spans="1:17" s="21" customFormat="1" ht="14.25" x14ac:dyDescent="0.2">
      <c r="A58" s="54">
        <v>2731</v>
      </c>
      <c r="B58" s="64"/>
      <c r="C58" s="49" t="s">
        <v>70</v>
      </c>
      <c r="D58" s="61">
        <f t="shared" si="2"/>
        <v>5000</v>
      </c>
      <c r="E58" s="28">
        <v>2500</v>
      </c>
      <c r="F58" s="29"/>
      <c r="G58" s="29"/>
      <c r="H58" s="29"/>
      <c r="I58" s="29"/>
      <c r="J58" s="29"/>
      <c r="K58" s="29"/>
      <c r="L58" s="29">
        <v>2500</v>
      </c>
      <c r="M58" s="29"/>
      <c r="N58" s="29"/>
      <c r="O58" s="29"/>
      <c r="P58" s="29"/>
      <c r="Q58" s="30"/>
    </row>
    <row r="59" spans="1:17" s="21" customFormat="1" ht="14.25" x14ac:dyDescent="0.2">
      <c r="A59" s="54">
        <v>2911</v>
      </c>
      <c r="B59" s="64"/>
      <c r="C59" s="51" t="s">
        <v>71</v>
      </c>
      <c r="D59" s="61">
        <f t="shared" si="2"/>
        <v>10000</v>
      </c>
      <c r="E59" s="28">
        <v>0</v>
      </c>
      <c r="F59" s="29">
        <v>2000</v>
      </c>
      <c r="G59" s="29"/>
      <c r="H59" s="29"/>
      <c r="I59" s="29"/>
      <c r="J59" s="29"/>
      <c r="K59" s="29"/>
      <c r="L59" s="29">
        <v>8000</v>
      </c>
      <c r="M59" s="29"/>
      <c r="N59" s="29"/>
      <c r="O59" s="29"/>
      <c r="P59" s="29"/>
      <c r="Q59" s="30"/>
    </row>
    <row r="60" spans="1:17" s="21" customFormat="1" ht="24" x14ac:dyDescent="0.2">
      <c r="A60" s="54">
        <v>2921</v>
      </c>
      <c r="B60" s="64"/>
      <c r="C60" s="51" t="s">
        <v>72</v>
      </c>
      <c r="D60" s="61">
        <f t="shared" si="2"/>
        <v>4000</v>
      </c>
      <c r="E60" s="28"/>
      <c r="F60" s="29"/>
      <c r="G60" s="29">
        <v>2000</v>
      </c>
      <c r="H60" s="29"/>
      <c r="I60" s="29"/>
      <c r="J60" s="29"/>
      <c r="K60" s="29"/>
      <c r="L60" s="29"/>
      <c r="M60" s="29"/>
      <c r="N60" s="29">
        <v>2000</v>
      </c>
      <c r="O60" s="29"/>
      <c r="P60" s="29"/>
      <c r="Q60" s="30"/>
    </row>
    <row r="61" spans="1:17" s="21" customFormat="1" ht="36" x14ac:dyDescent="0.2">
      <c r="A61" s="54">
        <v>2931</v>
      </c>
      <c r="B61" s="64"/>
      <c r="C61" s="51" t="s">
        <v>73</v>
      </c>
      <c r="D61" s="61">
        <f t="shared" si="2"/>
        <v>1500</v>
      </c>
      <c r="E61" s="28"/>
      <c r="F61" s="29">
        <v>1000</v>
      </c>
      <c r="G61" s="29"/>
      <c r="H61" s="29"/>
      <c r="I61" s="29"/>
      <c r="J61" s="29"/>
      <c r="K61" s="29"/>
      <c r="L61" s="29">
        <v>500</v>
      </c>
      <c r="M61" s="29"/>
      <c r="N61" s="29"/>
      <c r="O61" s="29"/>
      <c r="P61" s="29"/>
      <c r="Q61" s="30"/>
    </row>
    <row r="62" spans="1:17" s="21" customFormat="1" ht="36" x14ac:dyDescent="0.2">
      <c r="A62" s="54">
        <v>2941</v>
      </c>
      <c r="B62" s="64"/>
      <c r="C62" s="51" t="s">
        <v>74</v>
      </c>
      <c r="D62" s="61">
        <f t="shared" si="2"/>
        <v>2000</v>
      </c>
      <c r="E62" s="28"/>
      <c r="F62" s="29">
        <v>1000</v>
      </c>
      <c r="G62" s="29"/>
      <c r="H62" s="29"/>
      <c r="I62" s="29"/>
      <c r="J62" s="29"/>
      <c r="K62" s="29"/>
      <c r="L62" s="29">
        <v>1000</v>
      </c>
      <c r="M62" s="29"/>
      <c r="N62" s="29"/>
      <c r="O62" s="29"/>
      <c r="P62" s="29"/>
      <c r="Q62" s="30"/>
    </row>
    <row r="63" spans="1:17" s="21" customFormat="1" ht="36" x14ac:dyDescent="0.2">
      <c r="A63" s="54">
        <v>2951</v>
      </c>
      <c r="B63" s="64"/>
      <c r="C63" s="51" t="s">
        <v>75</v>
      </c>
      <c r="D63" s="61">
        <f t="shared" si="2"/>
        <v>18000</v>
      </c>
      <c r="E63" s="28"/>
      <c r="F63" s="28">
        <v>9000</v>
      </c>
      <c r="G63" s="29"/>
      <c r="H63" s="29"/>
      <c r="I63" s="29"/>
      <c r="J63" s="29"/>
      <c r="K63" s="29">
        <v>9000</v>
      </c>
      <c r="L63" s="29"/>
      <c r="M63" s="29"/>
      <c r="N63" s="29"/>
      <c r="O63" s="29"/>
      <c r="P63" s="29"/>
      <c r="Q63" s="30"/>
    </row>
    <row r="64" spans="1:17" s="21" customFormat="1" ht="24" x14ac:dyDescent="0.2">
      <c r="A64" s="54">
        <v>2961</v>
      </c>
      <c r="B64" s="64"/>
      <c r="C64" s="51" t="s">
        <v>76</v>
      </c>
      <c r="D64" s="61">
        <f>SUM(G64:P64)</f>
        <v>25000</v>
      </c>
      <c r="E64" s="67"/>
      <c r="G64" s="28">
        <v>5000</v>
      </c>
      <c r="H64" s="28">
        <v>5000</v>
      </c>
      <c r="J64" s="28">
        <v>5000</v>
      </c>
      <c r="L64" s="28"/>
      <c r="M64" s="28">
        <v>5000</v>
      </c>
      <c r="N64" s="28"/>
      <c r="O64" s="28"/>
      <c r="P64" s="28">
        <v>5000</v>
      </c>
      <c r="Q64" s="30"/>
    </row>
    <row r="65" spans="1:18" s="21" customFormat="1" ht="24" x14ac:dyDescent="0.2">
      <c r="A65" s="54">
        <v>2981</v>
      </c>
      <c r="B65" s="64"/>
      <c r="C65" s="51" t="s">
        <v>77</v>
      </c>
      <c r="D65" s="61">
        <f t="shared" si="2"/>
        <v>1500</v>
      </c>
      <c r="E65" s="28"/>
      <c r="F65" s="29"/>
      <c r="G65" s="29"/>
      <c r="H65" s="29"/>
      <c r="I65" s="29"/>
      <c r="J65" s="29">
        <v>1500</v>
      </c>
      <c r="K65" s="29"/>
      <c r="L65" s="29"/>
      <c r="M65" s="29"/>
      <c r="N65" s="29"/>
      <c r="O65" s="29"/>
      <c r="P65" s="29"/>
      <c r="Q65" s="30"/>
    </row>
    <row r="66" spans="1:18" s="21" customFormat="1" ht="24" x14ac:dyDescent="0.2">
      <c r="A66" s="54">
        <v>2991</v>
      </c>
      <c r="B66" s="64"/>
      <c r="C66" s="51" t="s">
        <v>78</v>
      </c>
      <c r="D66" s="61">
        <f t="shared" si="2"/>
        <v>4500</v>
      </c>
      <c r="E66" s="28"/>
      <c r="F66" s="29">
        <v>500</v>
      </c>
      <c r="G66" s="29"/>
      <c r="H66" s="29"/>
      <c r="I66" s="29">
        <v>500</v>
      </c>
      <c r="J66" s="29"/>
      <c r="K66" s="29"/>
      <c r="L66" s="29"/>
      <c r="M66" s="29">
        <v>500</v>
      </c>
      <c r="N66" s="207">
        <v>3000</v>
      </c>
      <c r="O66" s="29"/>
      <c r="P66" s="29"/>
      <c r="Q66" s="177" t="s">
        <v>188</v>
      </c>
    </row>
    <row r="67" spans="1:18" s="11" customFormat="1" ht="25.5" x14ac:dyDescent="0.2">
      <c r="A67" s="22"/>
      <c r="B67" s="22"/>
      <c r="C67" s="62" t="s">
        <v>17</v>
      </c>
      <c r="D67" s="66">
        <f>SUM(D29:D66)</f>
        <v>434200</v>
      </c>
      <c r="E67" s="24">
        <f t="shared" ref="E67:P67" si="3">SUM(E29:E66)</f>
        <v>78000</v>
      </c>
      <c r="F67" s="24">
        <f t="shared" si="3"/>
        <v>29500</v>
      </c>
      <c r="G67" s="24">
        <f t="shared" si="3"/>
        <v>57100</v>
      </c>
      <c r="H67" s="24">
        <f t="shared" si="3"/>
        <v>25000</v>
      </c>
      <c r="I67" s="24">
        <f t="shared" si="3"/>
        <v>25300</v>
      </c>
      <c r="J67" s="24">
        <f t="shared" si="3"/>
        <v>23500</v>
      </c>
      <c r="K67" s="24">
        <f t="shared" si="3"/>
        <v>25300</v>
      </c>
      <c r="L67" s="24">
        <f t="shared" si="3"/>
        <v>90700</v>
      </c>
      <c r="M67" s="24">
        <f t="shared" si="3"/>
        <v>14000</v>
      </c>
      <c r="N67" s="24">
        <f t="shared" si="3"/>
        <v>38800</v>
      </c>
      <c r="O67" s="24">
        <f t="shared" si="3"/>
        <v>15000</v>
      </c>
      <c r="P67" s="24">
        <f t="shared" si="3"/>
        <v>12000</v>
      </c>
      <c r="Q67" s="25" t="s">
        <v>79</v>
      </c>
      <c r="R67" s="26"/>
    </row>
    <row r="68" spans="1:18" s="21" customFormat="1" ht="14.25" x14ac:dyDescent="0.2">
      <c r="A68" s="54">
        <v>3111</v>
      </c>
      <c r="B68" s="64"/>
      <c r="C68" s="49" t="s">
        <v>80</v>
      </c>
      <c r="D68" s="61">
        <f t="shared" si="2"/>
        <v>180000</v>
      </c>
      <c r="E68" s="28">
        <v>15000</v>
      </c>
      <c r="F68" s="28">
        <v>15000</v>
      </c>
      <c r="G68" s="28">
        <v>15000</v>
      </c>
      <c r="H68" s="28">
        <v>15000</v>
      </c>
      <c r="I68" s="28">
        <v>15000</v>
      </c>
      <c r="J68" s="28">
        <v>15000</v>
      </c>
      <c r="K68" s="28">
        <v>15000</v>
      </c>
      <c r="L68" s="28">
        <v>15000</v>
      </c>
      <c r="M68" s="28">
        <v>15000</v>
      </c>
      <c r="N68" s="28">
        <v>15000</v>
      </c>
      <c r="O68" s="28">
        <v>15000</v>
      </c>
      <c r="P68" s="28">
        <v>15000</v>
      </c>
      <c r="Q68" s="30"/>
    </row>
    <row r="69" spans="1:18" s="21" customFormat="1" ht="14.25" x14ac:dyDescent="0.2">
      <c r="A69" s="54">
        <v>3121</v>
      </c>
      <c r="B69" s="64"/>
      <c r="C69" s="49" t="s">
        <v>81</v>
      </c>
      <c r="D69" s="61">
        <f t="shared" si="2"/>
        <v>13000</v>
      </c>
      <c r="E69" s="28">
        <v>6000</v>
      </c>
      <c r="F69" s="29"/>
      <c r="G69" s="29"/>
      <c r="H69" s="29"/>
      <c r="I69" s="29"/>
      <c r="J69" s="28"/>
      <c r="K69" s="29"/>
      <c r="L69" s="28">
        <v>7000</v>
      </c>
      <c r="M69" s="29"/>
      <c r="N69" s="28"/>
      <c r="O69" s="29"/>
      <c r="P69" s="29"/>
      <c r="Q69" s="173"/>
    </row>
    <row r="70" spans="1:18" s="21" customFormat="1" ht="14.25" x14ac:dyDescent="0.2">
      <c r="A70" s="54">
        <v>3141</v>
      </c>
      <c r="B70" s="64"/>
      <c r="C70" s="49" t="s">
        <v>82</v>
      </c>
      <c r="D70" s="61">
        <f>SUM(E70:P70)</f>
        <v>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174"/>
    </row>
    <row r="71" spans="1:18" s="21" customFormat="1" ht="14.25" x14ac:dyDescent="0.2">
      <c r="A71" s="54">
        <v>3151</v>
      </c>
      <c r="B71" s="64"/>
      <c r="C71" s="49" t="s">
        <v>83</v>
      </c>
      <c r="D71" s="61">
        <f>SUM(E71:P71)</f>
        <v>15600</v>
      </c>
      <c r="E71" s="28">
        <v>1300</v>
      </c>
      <c r="F71" s="28">
        <v>1300</v>
      </c>
      <c r="G71" s="28">
        <v>1300</v>
      </c>
      <c r="H71" s="28">
        <v>1300</v>
      </c>
      <c r="I71" s="28">
        <v>1300</v>
      </c>
      <c r="J71" s="28">
        <v>1300</v>
      </c>
      <c r="K71" s="28">
        <v>1300</v>
      </c>
      <c r="L71" s="28">
        <v>1300</v>
      </c>
      <c r="M71" s="28">
        <v>1300</v>
      </c>
      <c r="N71" s="28">
        <v>1300</v>
      </c>
      <c r="O71" s="28">
        <v>1300</v>
      </c>
      <c r="P71" s="28">
        <v>1300</v>
      </c>
      <c r="Q71" s="30"/>
    </row>
    <row r="72" spans="1:18" s="21" customFormat="1" ht="24" x14ac:dyDescent="0.2">
      <c r="A72" s="54">
        <v>3171</v>
      </c>
      <c r="B72" s="64"/>
      <c r="C72" s="49" t="s">
        <v>84</v>
      </c>
      <c r="D72" s="61">
        <f t="shared" si="2"/>
        <v>171755.43</v>
      </c>
      <c r="E72" s="28">
        <v>20000</v>
      </c>
      <c r="F72" s="28">
        <v>20000</v>
      </c>
      <c r="G72" s="28">
        <v>20000</v>
      </c>
      <c r="H72" s="28">
        <v>10000</v>
      </c>
      <c r="I72" s="28">
        <f>10000+21000</f>
        <v>31000</v>
      </c>
      <c r="J72" s="28">
        <v>10000</v>
      </c>
      <c r="K72" s="28">
        <v>10000</v>
      </c>
      <c r="L72" s="28">
        <v>10000</v>
      </c>
      <c r="M72" s="28">
        <v>10000</v>
      </c>
      <c r="N72" s="28">
        <f>4000-244.57</f>
        <v>3755.43</v>
      </c>
      <c r="O72" s="28">
        <v>17000</v>
      </c>
      <c r="P72" s="28">
        <v>10000</v>
      </c>
      <c r="Q72" s="30"/>
    </row>
    <row r="73" spans="1:18" s="21" customFormat="1" ht="14.25" x14ac:dyDescent="0.2">
      <c r="A73" s="54">
        <v>3181</v>
      </c>
      <c r="B73" s="64"/>
      <c r="C73" s="49" t="s">
        <v>85</v>
      </c>
      <c r="D73" s="61">
        <f t="shared" si="2"/>
        <v>8500</v>
      </c>
      <c r="E73" s="28">
        <v>4500</v>
      </c>
      <c r="F73" s="28"/>
      <c r="G73" s="28"/>
      <c r="H73" s="28"/>
      <c r="I73" s="28"/>
      <c r="J73" s="28"/>
      <c r="K73" s="28">
        <v>4000</v>
      </c>
      <c r="L73" s="28"/>
      <c r="M73" s="28"/>
      <c r="N73" s="28"/>
      <c r="O73" s="28"/>
      <c r="P73" s="28"/>
      <c r="Q73" s="30"/>
    </row>
    <row r="74" spans="1:18" s="21" customFormat="1" ht="14.25" x14ac:dyDescent="0.2">
      <c r="A74" s="54">
        <v>3221</v>
      </c>
      <c r="B74" s="64"/>
      <c r="C74" s="49" t="s">
        <v>86</v>
      </c>
      <c r="D74" s="61">
        <f t="shared" si="2"/>
        <v>31500</v>
      </c>
      <c r="E74" s="28">
        <v>15000</v>
      </c>
      <c r="F74" s="28">
        <v>1500</v>
      </c>
      <c r="G74" s="28">
        <v>1500</v>
      </c>
      <c r="H74" s="28">
        <v>1500</v>
      </c>
      <c r="I74" s="28">
        <v>1500</v>
      </c>
      <c r="J74" s="28">
        <v>1500</v>
      </c>
      <c r="K74" s="28">
        <v>1500</v>
      </c>
      <c r="L74" s="28">
        <v>1500</v>
      </c>
      <c r="M74" s="28">
        <v>1500</v>
      </c>
      <c r="N74" s="28">
        <v>1500</v>
      </c>
      <c r="O74" s="28">
        <v>1500</v>
      </c>
      <c r="P74" s="28">
        <v>1500</v>
      </c>
      <c r="Q74" s="30"/>
    </row>
    <row r="75" spans="1:18" s="21" customFormat="1" ht="14.25" x14ac:dyDescent="0.2">
      <c r="A75" s="56">
        <v>3231</v>
      </c>
      <c r="B75" s="32"/>
      <c r="C75" s="50" t="s">
        <v>87</v>
      </c>
      <c r="D75" s="61">
        <f t="shared" si="2"/>
        <v>0</v>
      </c>
      <c r="E75" s="2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0"/>
    </row>
    <row r="76" spans="1:18" s="21" customFormat="1" ht="24" x14ac:dyDescent="0.2">
      <c r="A76" s="54">
        <v>3261</v>
      </c>
      <c r="B76" s="64"/>
      <c r="C76" s="49" t="s">
        <v>88</v>
      </c>
      <c r="D76" s="61">
        <f t="shared" si="2"/>
        <v>9500</v>
      </c>
      <c r="E76" s="28"/>
      <c r="F76" s="29"/>
      <c r="G76" s="29"/>
      <c r="H76" s="28"/>
      <c r="I76" s="28"/>
      <c r="J76" s="29">
        <v>2500</v>
      </c>
      <c r="K76" s="29"/>
      <c r="L76" s="29"/>
      <c r="M76" s="207">
        <v>7000</v>
      </c>
      <c r="N76" s="29"/>
      <c r="O76" s="29"/>
      <c r="P76" s="29"/>
      <c r="Q76" s="177" t="s">
        <v>187</v>
      </c>
    </row>
    <row r="77" spans="1:18" s="21" customFormat="1" ht="24" x14ac:dyDescent="0.2">
      <c r="A77" s="54">
        <v>3311</v>
      </c>
      <c r="B77" s="64"/>
      <c r="C77" s="49" t="s">
        <v>89</v>
      </c>
      <c r="D77" s="61">
        <f t="shared" si="2"/>
        <v>60000</v>
      </c>
      <c r="E77" s="28">
        <v>15000</v>
      </c>
      <c r="F77" s="28">
        <v>15000</v>
      </c>
      <c r="G77" s="28">
        <v>15000</v>
      </c>
      <c r="H77" s="28">
        <v>15000</v>
      </c>
      <c r="I77" s="28"/>
      <c r="J77" s="28"/>
      <c r="K77" s="28"/>
      <c r="L77" s="28"/>
      <c r="M77" s="28"/>
      <c r="N77" s="28"/>
      <c r="O77" s="28"/>
      <c r="P77" s="28"/>
      <c r="Q77" s="30"/>
    </row>
    <row r="78" spans="1:18" s="21" customFormat="1" ht="24" x14ac:dyDescent="0.2">
      <c r="A78" s="54">
        <v>3331</v>
      </c>
      <c r="B78" s="64"/>
      <c r="C78" s="49" t="s">
        <v>90</v>
      </c>
      <c r="D78" s="61">
        <f t="shared" si="2"/>
        <v>62900.03</v>
      </c>
      <c r="E78" s="28">
        <v>15000</v>
      </c>
      <c r="F78" s="28">
        <v>15000</v>
      </c>
      <c r="G78" s="28">
        <v>15000</v>
      </c>
      <c r="H78" s="28">
        <v>15000</v>
      </c>
      <c r="I78" s="28">
        <v>2900.03</v>
      </c>
      <c r="J78" s="28"/>
      <c r="K78" s="28"/>
      <c r="L78" s="28"/>
      <c r="M78" s="28"/>
      <c r="N78" s="28"/>
      <c r="O78" s="28"/>
      <c r="P78" s="28"/>
      <c r="Q78" s="30"/>
    </row>
    <row r="79" spans="1:18" s="21" customFormat="1" ht="14.25" x14ac:dyDescent="0.2">
      <c r="A79" s="54">
        <v>3341</v>
      </c>
      <c r="B79" s="64"/>
      <c r="C79" s="49" t="s">
        <v>91</v>
      </c>
      <c r="D79" s="61">
        <f t="shared" si="2"/>
        <v>30000</v>
      </c>
      <c r="E79" s="28"/>
      <c r="F79" s="29"/>
      <c r="G79" s="29"/>
      <c r="H79" s="29"/>
      <c r="I79" s="29"/>
      <c r="J79" s="29"/>
      <c r="K79" s="29"/>
      <c r="L79" s="28">
        <v>30000</v>
      </c>
      <c r="M79" s="29"/>
      <c r="N79" s="29"/>
      <c r="O79" s="29"/>
      <c r="P79" s="29"/>
      <c r="Q79" s="30"/>
    </row>
    <row r="80" spans="1:18" s="21" customFormat="1" ht="14.25" x14ac:dyDescent="0.2">
      <c r="A80" s="54">
        <v>3342</v>
      </c>
      <c r="B80" s="64"/>
      <c r="C80" s="49" t="s">
        <v>92</v>
      </c>
      <c r="D80" s="61">
        <f t="shared" si="2"/>
        <v>110000</v>
      </c>
      <c r="E80" s="28">
        <v>35000</v>
      </c>
      <c r="F80" s="29"/>
      <c r="G80" s="29"/>
      <c r="H80" s="29"/>
      <c r="I80" s="29"/>
      <c r="J80" s="29"/>
      <c r="K80" s="28">
        <v>40000</v>
      </c>
      <c r="L80" s="28">
        <v>35000</v>
      </c>
      <c r="M80" s="29"/>
      <c r="N80" s="29"/>
      <c r="O80" s="29"/>
      <c r="P80" s="29"/>
      <c r="Q80" s="30"/>
    </row>
    <row r="81" spans="1:17" s="21" customFormat="1" ht="24" x14ac:dyDescent="0.2">
      <c r="A81" s="54">
        <v>3361</v>
      </c>
      <c r="B81" s="64"/>
      <c r="C81" s="49" t="s">
        <v>93</v>
      </c>
      <c r="D81" s="61">
        <f t="shared" si="2"/>
        <v>15000</v>
      </c>
      <c r="E81" s="28"/>
      <c r="F81" s="29"/>
      <c r="G81" s="29">
        <v>7500</v>
      </c>
      <c r="H81" s="29"/>
      <c r="I81" s="29"/>
      <c r="J81" s="29"/>
      <c r="K81" s="29"/>
      <c r="L81" s="29"/>
      <c r="M81" s="29"/>
      <c r="N81" s="29">
        <v>7500</v>
      </c>
      <c r="O81" s="29"/>
      <c r="P81" s="29"/>
      <c r="Q81" s="30"/>
    </row>
    <row r="82" spans="1:17" s="21" customFormat="1" ht="14.25" x14ac:dyDescent="0.2">
      <c r="A82" s="54">
        <v>3362</v>
      </c>
      <c r="B82" s="64"/>
      <c r="C82" s="49" t="s">
        <v>94</v>
      </c>
      <c r="D82" s="61">
        <f t="shared" si="2"/>
        <v>20000</v>
      </c>
      <c r="E82" s="28">
        <v>10000</v>
      </c>
      <c r="F82" s="29"/>
      <c r="G82" s="29"/>
      <c r="H82" s="29"/>
      <c r="I82" s="29"/>
      <c r="J82" s="29"/>
      <c r="K82" s="29"/>
      <c r="L82" s="29"/>
      <c r="M82" s="28">
        <v>10000</v>
      </c>
      <c r="N82" s="29"/>
      <c r="O82" s="29"/>
      <c r="P82" s="29"/>
      <c r="Q82" s="30"/>
    </row>
    <row r="83" spans="1:17" s="21" customFormat="1" ht="14.25" x14ac:dyDescent="0.2">
      <c r="A83" s="54">
        <v>3381</v>
      </c>
      <c r="B83" s="64"/>
      <c r="C83" s="49" t="s">
        <v>95</v>
      </c>
      <c r="D83" s="61">
        <f t="shared" si="2"/>
        <v>0</v>
      </c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</row>
    <row r="84" spans="1:17" s="21" customFormat="1" ht="24" x14ac:dyDescent="0.2">
      <c r="A84" s="54">
        <v>3391</v>
      </c>
      <c r="B84" s="64"/>
      <c r="C84" s="49" t="s">
        <v>96</v>
      </c>
      <c r="D84" s="61">
        <f t="shared" si="2"/>
        <v>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30"/>
    </row>
    <row r="85" spans="1:17" s="21" customFormat="1" ht="14.25" x14ac:dyDescent="0.2">
      <c r="A85" s="54">
        <v>3411</v>
      </c>
      <c r="B85" s="64"/>
      <c r="C85" s="49" t="s">
        <v>97</v>
      </c>
      <c r="D85" s="61">
        <f t="shared" si="2"/>
        <v>9600</v>
      </c>
      <c r="E85" s="28">
        <v>800</v>
      </c>
      <c r="F85" s="28">
        <v>800</v>
      </c>
      <c r="G85" s="28">
        <v>800</v>
      </c>
      <c r="H85" s="28">
        <v>800</v>
      </c>
      <c r="I85" s="28">
        <v>800</v>
      </c>
      <c r="J85" s="28">
        <v>800</v>
      </c>
      <c r="K85" s="28">
        <v>800</v>
      </c>
      <c r="L85" s="28">
        <v>800</v>
      </c>
      <c r="M85" s="28">
        <v>800</v>
      </c>
      <c r="N85" s="28">
        <v>800</v>
      </c>
      <c r="O85" s="28">
        <v>800</v>
      </c>
      <c r="P85" s="28">
        <v>800</v>
      </c>
      <c r="Q85" s="30"/>
    </row>
    <row r="86" spans="1:17" s="21" customFormat="1" ht="33.75" x14ac:dyDescent="0.2">
      <c r="A86" s="54">
        <v>3451</v>
      </c>
      <c r="B86" s="64"/>
      <c r="C86" s="49" t="s">
        <v>98</v>
      </c>
      <c r="D86" s="61">
        <f t="shared" si="2"/>
        <v>71602.539999999994</v>
      </c>
      <c r="E86" s="28"/>
      <c r="F86" s="29"/>
      <c r="G86" s="29"/>
      <c r="H86" s="29"/>
      <c r="I86" s="28"/>
      <c r="J86" s="29"/>
      <c r="K86" s="29"/>
      <c r="L86" s="29"/>
      <c r="M86" s="29"/>
      <c r="N86" s="181">
        <v>71602.539999999994</v>
      </c>
      <c r="O86" s="29"/>
      <c r="P86" s="29"/>
      <c r="Q86" s="178" t="s">
        <v>190</v>
      </c>
    </row>
    <row r="87" spans="1:17" s="21" customFormat="1" ht="14.25" x14ac:dyDescent="0.2">
      <c r="A87" s="54">
        <v>3471</v>
      </c>
      <c r="B87" s="64"/>
      <c r="C87" s="49" t="s">
        <v>99</v>
      </c>
      <c r="D87" s="61">
        <f t="shared" si="2"/>
        <v>3000</v>
      </c>
      <c r="E87" s="28">
        <v>1000</v>
      </c>
      <c r="F87" s="29"/>
      <c r="G87" s="29"/>
      <c r="H87" s="29"/>
      <c r="I87" s="28">
        <v>1000</v>
      </c>
      <c r="J87" s="29"/>
      <c r="K87" s="29"/>
      <c r="L87" s="29"/>
      <c r="M87" s="29"/>
      <c r="N87" s="28">
        <v>1000</v>
      </c>
      <c r="O87" s="29"/>
      <c r="P87" s="29"/>
      <c r="Q87" s="30"/>
    </row>
    <row r="88" spans="1:17" s="21" customFormat="1" ht="24" x14ac:dyDescent="0.2">
      <c r="A88" s="54">
        <v>3511</v>
      </c>
      <c r="B88" s="64"/>
      <c r="C88" s="49" t="s">
        <v>100</v>
      </c>
      <c r="D88" s="61">
        <f t="shared" si="2"/>
        <v>100000</v>
      </c>
      <c r="E88" s="28">
        <v>25000</v>
      </c>
      <c r="F88" s="29"/>
      <c r="G88" s="29"/>
      <c r="H88" s="29"/>
      <c r="I88" s="28">
        <v>25000</v>
      </c>
      <c r="J88" s="29"/>
      <c r="K88" s="29"/>
      <c r="L88" s="29"/>
      <c r="M88" s="28">
        <v>25000</v>
      </c>
      <c r="N88" s="29"/>
      <c r="O88" s="29">
        <v>25000</v>
      </c>
      <c r="P88" s="29"/>
      <c r="Q88" s="30"/>
    </row>
    <row r="89" spans="1:17" s="34" customFormat="1" ht="36" x14ac:dyDescent="0.2">
      <c r="A89" s="54">
        <v>3531</v>
      </c>
      <c r="B89" s="64"/>
      <c r="C89" s="49" t="s">
        <v>101</v>
      </c>
      <c r="D89" s="61">
        <f t="shared" si="2"/>
        <v>40000</v>
      </c>
      <c r="E89" s="28"/>
      <c r="F89" s="28">
        <v>10000</v>
      </c>
      <c r="G89" s="28"/>
      <c r="H89" s="28"/>
      <c r="I89" s="28"/>
      <c r="J89" s="28">
        <v>10000</v>
      </c>
      <c r="K89" s="28"/>
      <c r="L89" s="28"/>
      <c r="M89" s="28">
        <v>10000</v>
      </c>
      <c r="N89" s="28"/>
      <c r="O89" s="28"/>
      <c r="P89" s="28">
        <v>10000</v>
      </c>
      <c r="Q89" s="33"/>
    </row>
    <row r="90" spans="1:17" s="21" customFormat="1" ht="36" x14ac:dyDescent="0.2">
      <c r="A90" s="54">
        <v>3541</v>
      </c>
      <c r="B90" s="64"/>
      <c r="C90" s="49" t="s">
        <v>102</v>
      </c>
      <c r="D90" s="61">
        <f t="shared" si="2"/>
        <v>120000</v>
      </c>
      <c r="E90" s="28"/>
      <c r="F90" s="29"/>
      <c r="G90" s="29"/>
      <c r="H90" s="29"/>
      <c r="I90" s="29"/>
      <c r="J90" s="29"/>
      <c r="K90" s="207">
        <v>60000</v>
      </c>
      <c r="L90" s="207">
        <v>60000</v>
      </c>
      <c r="M90" s="29"/>
      <c r="N90" s="29"/>
      <c r="O90" s="29"/>
      <c r="P90" s="29"/>
      <c r="Q90" s="177" t="s">
        <v>189</v>
      </c>
    </row>
    <row r="91" spans="1:17" s="21" customFormat="1" ht="24" x14ac:dyDescent="0.2">
      <c r="A91" s="54">
        <v>3551</v>
      </c>
      <c r="B91" s="64"/>
      <c r="C91" s="49" t="s">
        <v>103</v>
      </c>
      <c r="D91" s="61">
        <f t="shared" si="2"/>
        <v>0</v>
      </c>
      <c r="E91" s="28"/>
      <c r="F91" s="29"/>
      <c r="G91" s="29"/>
      <c r="H91" s="29"/>
      <c r="I91" s="29"/>
      <c r="J91" s="28"/>
      <c r="K91" s="29"/>
      <c r="L91" s="29"/>
      <c r="M91" s="29"/>
      <c r="N91" s="29"/>
      <c r="O91" s="29"/>
      <c r="P91" s="29"/>
      <c r="Q91" s="30"/>
    </row>
    <row r="92" spans="1:17" s="21" customFormat="1" ht="24" x14ac:dyDescent="0.2">
      <c r="A92" s="54">
        <v>3571</v>
      </c>
      <c r="B92" s="64"/>
      <c r="C92" s="49" t="s">
        <v>104</v>
      </c>
      <c r="D92" s="61">
        <f t="shared" si="2"/>
        <v>0</v>
      </c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30"/>
    </row>
    <row r="93" spans="1:17" s="21" customFormat="1" ht="24" x14ac:dyDescent="0.2">
      <c r="A93" s="54">
        <v>3572</v>
      </c>
      <c r="B93" s="64"/>
      <c r="C93" s="49" t="s">
        <v>105</v>
      </c>
      <c r="D93" s="61">
        <f t="shared" ref="D93:D104" si="4">SUM(E93:P93)</f>
        <v>0</v>
      </c>
      <c r="E93" s="28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30"/>
    </row>
    <row r="94" spans="1:17" s="21" customFormat="1" ht="14.25" x14ac:dyDescent="0.2">
      <c r="A94" s="54">
        <v>3581</v>
      </c>
      <c r="B94" s="64"/>
      <c r="C94" s="49" t="s">
        <v>106</v>
      </c>
      <c r="D94" s="61">
        <f t="shared" si="4"/>
        <v>0</v>
      </c>
      <c r="E94" s="28"/>
      <c r="F94" s="29"/>
      <c r="G94" s="29"/>
      <c r="H94" s="29"/>
      <c r="I94" s="28"/>
      <c r="J94" s="29"/>
      <c r="K94" s="29"/>
      <c r="L94" s="29"/>
      <c r="M94" s="28"/>
      <c r="N94" s="29"/>
      <c r="O94" s="29"/>
      <c r="P94" s="29"/>
      <c r="Q94" s="30"/>
    </row>
    <row r="95" spans="1:17" s="21" customFormat="1" ht="14.25" x14ac:dyDescent="0.2">
      <c r="A95" s="54">
        <v>3591</v>
      </c>
      <c r="B95" s="64"/>
      <c r="C95" s="49" t="s">
        <v>107</v>
      </c>
      <c r="D95" s="61">
        <f t="shared" si="4"/>
        <v>0</v>
      </c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</row>
    <row r="96" spans="1:17" s="21" customFormat="1" ht="36" x14ac:dyDescent="0.2">
      <c r="A96" s="54">
        <v>3621</v>
      </c>
      <c r="B96" s="64"/>
      <c r="C96" s="49" t="s">
        <v>108</v>
      </c>
      <c r="D96" s="61">
        <f t="shared" si="4"/>
        <v>0</v>
      </c>
      <c r="E96" s="28"/>
      <c r="F96" s="28"/>
      <c r="G96" s="28"/>
      <c r="H96" s="29"/>
      <c r="I96" s="29"/>
      <c r="J96" s="29"/>
      <c r="K96" s="29"/>
      <c r="L96" s="29"/>
      <c r="M96" s="29"/>
      <c r="N96" s="29"/>
      <c r="O96" s="29"/>
      <c r="P96" s="29"/>
      <c r="Q96" s="30"/>
    </row>
    <row r="97" spans="1:18" s="21" customFormat="1" ht="14.25" x14ac:dyDescent="0.2">
      <c r="A97" s="54">
        <v>3711</v>
      </c>
      <c r="B97" s="64"/>
      <c r="C97" s="49" t="s">
        <v>109</v>
      </c>
      <c r="D97" s="61">
        <f t="shared" si="4"/>
        <v>0</v>
      </c>
      <c r="E97" s="28"/>
      <c r="F97" s="29"/>
      <c r="G97" s="29"/>
      <c r="H97" s="28"/>
      <c r="I97" s="29"/>
      <c r="J97" s="29"/>
      <c r="K97" s="28"/>
      <c r="L97" s="28"/>
      <c r="M97" s="29"/>
      <c r="N97" s="28"/>
      <c r="O97" s="29"/>
      <c r="P97" s="29"/>
      <c r="Q97" s="30"/>
    </row>
    <row r="98" spans="1:18" s="34" customFormat="1" ht="14.25" x14ac:dyDescent="0.2">
      <c r="A98" s="54">
        <v>3721</v>
      </c>
      <c r="B98" s="64"/>
      <c r="C98" s="49" t="s">
        <v>110</v>
      </c>
      <c r="D98" s="61">
        <f t="shared" si="4"/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33"/>
    </row>
    <row r="99" spans="1:18" s="34" customFormat="1" ht="14.25" x14ac:dyDescent="0.2">
      <c r="A99" s="54">
        <v>3751</v>
      </c>
      <c r="B99" s="64"/>
      <c r="C99" s="49" t="s">
        <v>111</v>
      </c>
      <c r="D99" s="61">
        <f t="shared" si="4"/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33"/>
    </row>
    <row r="100" spans="1:18" s="34" customFormat="1" ht="14.25" x14ac:dyDescent="0.2">
      <c r="A100" s="54">
        <v>3791</v>
      </c>
      <c r="B100" s="64"/>
      <c r="C100" s="49" t="s">
        <v>112</v>
      </c>
      <c r="D100" s="61">
        <f t="shared" si="4"/>
        <v>0</v>
      </c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33"/>
    </row>
    <row r="101" spans="1:18" s="34" customFormat="1" ht="14.25" x14ac:dyDescent="0.2">
      <c r="A101" s="54">
        <v>3821</v>
      </c>
      <c r="B101" s="64"/>
      <c r="C101" s="49" t="s">
        <v>113</v>
      </c>
      <c r="D101" s="61">
        <f t="shared" si="4"/>
        <v>0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33"/>
    </row>
    <row r="102" spans="1:18" s="34" customFormat="1" ht="14.25" x14ac:dyDescent="0.2">
      <c r="A102" s="54">
        <v>3822</v>
      </c>
      <c r="B102" s="64"/>
      <c r="C102" s="49" t="s">
        <v>114</v>
      </c>
      <c r="D102" s="61">
        <f t="shared" si="4"/>
        <v>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33"/>
    </row>
    <row r="103" spans="1:18" s="34" customFormat="1" ht="14.25" x14ac:dyDescent="0.2">
      <c r="A103" s="54">
        <v>3792</v>
      </c>
      <c r="B103" s="64"/>
      <c r="C103" s="49" t="s">
        <v>115</v>
      </c>
      <c r="D103" s="61">
        <f t="shared" si="4"/>
        <v>0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33"/>
    </row>
    <row r="104" spans="1:18" s="34" customFormat="1" ht="14.25" x14ac:dyDescent="0.2">
      <c r="A104" s="54">
        <v>3921</v>
      </c>
      <c r="B104" s="64"/>
      <c r="C104" s="49" t="s">
        <v>116</v>
      </c>
      <c r="D104" s="61">
        <f t="shared" si="4"/>
        <v>0</v>
      </c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33"/>
    </row>
    <row r="105" spans="1:18" s="11" customFormat="1" ht="25.5" x14ac:dyDescent="0.2">
      <c r="A105" s="22"/>
      <c r="B105" s="22"/>
      <c r="C105" s="62" t="s">
        <v>18</v>
      </c>
      <c r="D105" s="65">
        <f t="shared" ref="D105:P105" si="5">SUM(D68:D104)</f>
        <v>1071958</v>
      </c>
      <c r="E105" s="24">
        <f t="shared" si="5"/>
        <v>163600</v>
      </c>
      <c r="F105" s="24">
        <f t="shared" si="5"/>
        <v>78600</v>
      </c>
      <c r="G105" s="24">
        <f t="shared" si="5"/>
        <v>76100</v>
      </c>
      <c r="H105" s="24">
        <f t="shared" si="5"/>
        <v>58600</v>
      </c>
      <c r="I105" s="24">
        <f t="shared" si="5"/>
        <v>78500.03</v>
      </c>
      <c r="J105" s="24">
        <f t="shared" si="5"/>
        <v>41100</v>
      </c>
      <c r="K105" s="24">
        <f t="shared" si="5"/>
        <v>132600</v>
      </c>
      <c r="L105" s="24">
        <f t="shared" si="5"/>
        <v>160600</v>
      </c>
      <c r="M105" s="24">
        <f t="shared" si="5"/>
        <v>80600</v>
      </c>
      <c r="N105" s="24">
        <f t="shared" si="5"/>
        <v>102457.97</v>
      </c>
      <c r="O105" s="24">
        <f t="shared" si="5"/>
        <v>60600</v>
      </c>
      <c r="P105" s="24">
        <f t="shared" si="5"/>
        <v>38600</v>
      </c>
      <c r="Q105" s="30"/>
      <c r="R105" s="26"/>
    </row>
    <row r="106" spans="1:18" x14ac:dyDescent="0.2">
      <c r="A106" s="35"/>
      <c r="B106" s="35"/>
      <c r="C106" s="60"/>
      <c r="D106" s="36">
        <f t="shared" ref="D106:D118" si="6">SUM(E106:P106)</f>
        <v>0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7">SUM(D106:D106)</f>
        <v>0</v>
      </c>
      <c r="E107" s="39">
        <f t="shared" si="7"/>
        <v>0</v>
      </c>
      <c r="F107" s="39">
        <f t="shared" si="7"/>
        <v>0</v>
      </c>
      <c r="G107" s="39">
        <f t="shared" si="7"/>
        <v>0</v>
      </c>
      <c r="H107" s="39">
        <f t="shared" si="7"/>
        <v>0</v>
      </c>
      <c r="I107" s="39">
        <f t="shared" si="7"/>
        <v>0</v>
      </c>
      <c r="J107" s="39">
        <f t="shared" si="7"/>
        <v>0</v>
      </c>
      <c r="K107" s="39">
        <f t="shared" si="7"/>
        <v>0</v>
      </c>
      <c r="L107" s="39">
        <f t="shared" si="7"/>
        <v>0</v>
      </c>
      <c r="M107" s="39">
        <f t="shared" si="7"/>
        <v>0</v>
      </c>
      <c r="N107" s="39">
        <f t="shared" si="7"/>
        <v>0</v>
      </c>
      <c r="O107" s="39">
        <f t="shared" si="7"/>
        <v>0</v>
      </c>
      <c r="P107" s="39">
        <f t="shared" si="7"/>
        <v>0</v>
      </c>
      <c r="Q107" s="25"/>
    </row>
    <row r="108" spans="1:18" s="73" customFormat="1" ht="13.5" customHeight="1" x14ac:dyDescent="0.2">
      <c r="A108" s="68"/>
      <c r="B108" s="68"/>
      <c r="C108" s="68"/>
      <c r="D108" s="69">
        <f t="shared" si="6"/>
        <v>0</v>
      </c>
      <c r="E108" s="70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/>
    </row>
    <row r="109" spans="1:18" s="73" customFormat="1" ht="13.5" customHeight="1" x14ac:dyDescent="0.2">
      <c r="A109" s="68"/>
      <c r="B109" s="68"/>
      <c r="C109" s="68"/>
      <c r="D109" s="69"/>
      <c r="E109" s="70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2"/>
    </row>
    <row r="110" spans="1:18" s="73" customFormat="1" ht="13.5" customHeight="1" x14ac:dyDescent="0.2">
      <c r="A110" s="68"/>
      <c r="B110" s="68"/>
      <c r="C110" s="68"/>
      <c r="D110" s="69"/>
      <c r="E110" s="70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/>
    </row>
    <row r="111" spans="1:18" s="73" customFormat="1" x14ac:dyDescent="0.2">
      <c r="A111" s="68"/>
      <c r="B111" s="68"/>
      <c r="C111" s="68"/>
      <c r="D111" s="69"/>
      <c r="E111" s="70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2"/>
    </row>
    <row r="112" spans="1:18" s="11" customFormat="1" ht="25.5" x14ac:dyDescent="0.2">
      <c r="A112" s="22"/>
      <c r="B112" s="22"/>
      <c r="C112" s="62" t="s">
        <v>118</v>
      </c>
      <c r="D112" s="23">
        <f t="shared" ref="D112:P112" si="8">SUM(D108:D108)</f>
        <v>0</v>
      </c>
      <c r="E112" s="41">
        <f t="shared" si="8"/>
        <v>0</v>
      </c>
      <c r="F112" s="39">
        <f t="shared" si="8"/>
        <v>0</v>
      </c>
      <c r="G112" s="39">
        <f t="shared" si="8"/>
        <v>0</v>
      </c>
      <c r="H112" s="39">
        <f t="shared" si="8"/>
        <v>0</v>
      </c>
      <c r="I112" s="39">
        <f t="shared" si="8"/>
        <v>0</v>
      </c>
      <c r="J112" s="39">
        <f t="shared" si="8"/>
        <v>0</v>
      </c>
      <c r="K112" s="39">
        <f t="shared" si="8"/>
        <v>0</v>
      </c>
      <c r="L112" s="39">
        <f t="shared" si="8"/>
        <v>0</v>
      </c>
      <c r="M112" s="39">
        <f t="shared" si="8"/>
        <v>0</v>
      </c>
      <c r="N112" s="39">
        <f t="shared" si="8"/>
        <v>0</v>
      </c>
      <c r="O112" s="39">
        <f t="shared" si="8"/>
        <v>0</v>
      </c>
      <c r="P112" s="39">
        <f t="shared" si="8"/>
        <v>0</v>
      </c>
      <c r="Q112" s="25"/>
    </row>
    <row r="113" spans="1:18" x14ac:dyDescent="0.2">
      <c r="A113" s="35"/>
      <c r="B113" s="35"/>
      <c r="C113" s="40"/>
      <c r="D113" s="36">
        <f t="shared" si="6"/>
        <v>0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8"/>
    </row>
    <row r="114" spans="1:18" x14ac:dyDescent="0.2">
      <c r="A114" s="35"/>
      <c r="B114" s="35"/>
      <c r="C114" s="60"/>
      <c r="D114" s="36">
        <f t="shared" si="6"/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8"/>
    </row>
    <row r="115" spans="1:18" x14ac:dyDescent="0.2">
      <c r="A115" s="35"/>
      <c r="B115" s="35"/>
      <c r="C115" s="60"/>
      <c r="D115" s="36">
        <f t="shared" si="6"/>
        <v>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8"/>
    </row>
    <row r="116" spans="1:18" x14ac:dyDescent="0.2">
      <c r="A116" s="35"/>
      <c r="B116" s="35"/>
      <c r="C116" s="60"/>
      <c r="D116" s="36">
        <f t="shared" si="6"/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8"/>
    </row>
    <row r="117" spans="1:18" s="11" customFormat="1" ht="25.5" x14ac:dyDescent="0.2">
      <c r="A117" s="22"/>
      <c r="B117" s="22"/>
      <c r="C117" s="62" t="s">
        <v>194</v>
      </c>
      <c r="D117" s="23">
        <f>SUM(D113:D116)</f>
        <v>0</v>
      </c>
      <c r="E117" s="39">
        <f t="shared" ref="E117:P117" si="9">SUM(E115:E116)</f>
        <v>0</v>
      </c>
      <c r="F117" s="39">
        <f t="shared" si="9"/>
        <v>0</v>
      </c>
      <c r="G117" s="39">
        <f t="shared" si="9"/>
        <v>0</v>
      </c>
      <c r="H117" s="39">
        <f t="shared" si="9"/>
        <v>0</v>
      </c>
      <c r="I117" s="39">
        <f t="shared" si="9"/>
        <v>0</v>
      </c>
      <c r="J117" s="39">
        <f t="shared" si="9"/>
        <v>0</v>
      </c>
      <c r="K117" s="39">
        <f t="shared" si="9"/>
        <v>0</v>
      </c>
      <c r="L117" s="39">
        <f t="shared" si="9"/>
        <v>0</v>
      </c>
      <c r="M117" s="39">
        <f t="shared" si="9"/>
        <v>0</v>
      </c>
      <c r="N117" s="39">
        <f t="shared" si="9"/>
        <v>0</v>
      </c>
      <c r="O117" s="39">
        <f t="shared" si="9"/>
        <v>0</v>
      </c>
      <c r="P117" s="39">
        <f t="shared" si="9"/>
        <v>0</v>
      </c>
      <c r="Q117" s="25"/>
      <c r="R117" s="26"/>
    </row>
    <row r="118" spans="1:18" x14ac:dyDescent="0.2">
      <c r="A118" s="35"/>
      <c r="B118" s="35"/>
      <c r="C118" s="60"/>
      <c r="D118" s="36">
        <f t="shared" si="6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35"/>
      <c r="C119" s="60"/>
      <c r="D119" s="36">
        <f t="shared" ref="D119" si="10">SUM(E119:P119)</f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2"/>
      <c r="C120" s="62" t="s">
        <v>193</v>
      </c>
      <c r="D120" s="23">
        <f t="shared" ref="D120:P120" si="11">SUM(D118:D119)</f>
        <v>0</v>
      </c>
      <c r="E120" s="39">
        <f t="shared" si="11"/>
        <v>0</v>
      </c>
      <c r="F120" s="39">
        <f t="shared" si="11"/>
        <v>0</v>
      </c>
      <c r="G120" s="39">
        <f t="shared" si="11"/>
        <v>0</v>
      </c>
      <c r="H120" s="39">
        <f t="shared" si="11"/>
        <v>0</v>
      </c>
      <c r="I120" s="39">
        <f t="shared" si="11"/>
        <v>0</v>
      </c>
      <c r="J120" s="39">
        <f t="shared" si="11"/>
        <v>0</v>
      </c>
      <c r="K120" s="39">
        <f t="shared" si="11"/>
        <v>0</v>
      </c>
      <c r="L120" s="39">
        <f t="shared" si="11"/>
        <v>0</v>
      </c>
      <c r="M120" s="39">
        <f t="shared" si="11"/>
        <v>0</v>
      </c>
      <c r="N120" s="39">
        <f t="shared" si="11"/>
        <v>0</v>
      </c>
      <c r="O120" s="39">
        <f t="shared" si="11"/>
        <v>0</v>
      </c>
      <c r="P120" s="39">
        <f t="shared" si="11"/>
        <v>0</v>
      </c>
      <c r="Q120" s="25"/>
    </row>
    <row r="121" spans="1:18" s="11" customFormat="1" ht="17.25" customHeight="1" x14ac:dyDescent="0.2">
      <c r="A121" s="188"/>
      <c r="B121" s="188"/>
      <c r="C121" s="189" t="s">
        <v>19</v>
      </c>
      <c r="D121" s="190">
        <f t="shared" ref="D121:P121" si="12">SUM(D120,D117,D112,D107,D105,D67,D28)</f>
        <v>8088899.5300000003</v>
      </c>
      <c r="E121" s="191">
        <f t="shared" si="12"/>
        <v>728622.57000000007</v>
      </c>
      <c r="F121" s="191">
        <f t="shared" si="12"/>
        <v>595122.54</v>
      </c>
      <c r="G121" s="191">
        <f t="shared" si="12"/>
        <v>620222.61</v>
      </c>
      <c r="H121" s="191">
        <f t="shared" si="12"/>
        <v>570622.61</v>
      </c>
      <c r="I121" s="191">
        <f t="shared" si="12"/>
        <v>590822.64</v>
      </c>
      <c r="J121" s="191">
        <f t="shared" si="12"/>
        <v>551622.58000000007</v>
      </c>
      <c r="K121" s="191">
        <f t="shared" si="12"/>
        <v>644922.58000000007</v>
      </c>
      <c r="L121" s="191">
        <f t="shared" si="12"/>
        <v>738322.58000000007</v>
      </c>
      <c r="M121" s="191">
        <f t="shared" si="12"/>
        <v>581622.58000000007</v>
      </c>
      <c r="N121" s="191">
        <f t="shared" si="12"/>
        <v>628280.55000000005</v>
      </c>
      <c r="O121" s="191">
        <f t="shared" si="12"/>
        <v>562622.58000000007</v>
      </c>
      <c r="P121" s="191">
        <f t="shared" si="12"/>
        <v>1276093.1100000001</v>
      </c>
      <c r="Q121" s="192"/>
      <c r="R121" s="26"/>
    </row>
    <row r="123" spans="1:18" x14ac:dyDescent="0.2">
      <c r="C123" s="179" t="s">
        <v>191</v>
      </c>
      <c r="D123" s="180">
        <v>1506158</v>
      </c>
    </row>
    <row r="125" spans="1:18" x14ac:dyDescent="0.2">
      <c r="D125" s="3">
        <f>D67+D105</f>
        <v>1506158</v>
      </c>
    </row>
    <row r="127" spans="1:18" ht="48.75" customHeight="1" x14ac:dyDescent="0.2">
      <c r="C127" s="118" t="s">
        <v>129</v>
      </c>
      <c r="G127" s="1" t="s">
        <v>131</v>
      </c>
      <c r="L127" s="1" t="s">
        <v>133</v>
      </c>
    </row>
    <row r="128" spans="1:18" x14ac:dyDescent="0.2">
      <c r="C128" s="118" t="s">
        <v>130</v>
      </c>
      <c r="G128" s="1" t="s">
        <v>132</v>
      </c>
      <c r="L128" s="1" t="s">
        <v>134</v>
      </c>
    </row>
    <row r="131" spans="3:13" x14ac:dyDescent="0.2">
      <c r="G131" s="42"/>
    </row>
    <row r="132" spans="3:13" ht="15" x14ac:dyDescent="0.25">
      <c r="C132" s="160"/>
      <c r="G132" s="42"/>
    </row>
    <row r="133" spans="3:13" ht="15" x14ac:dyDescent="0.25">
      <c r="C133" s="160"/>
      <c r="H133" s="44"/>
      <c r="J133" s="44"/>
    </row>
    <row r="134" spans="3:13" x14ac:dyDescent="0.2">
      <c r="G134" s="44"/>
    </row>
    <row r="135" spans="3:13" x14ac:dyDescent="0.2">
      <c r="G135" s="44"/>
      <c r="H135" s="44"/>
      <c r="I135" s="44"/>
    </row>
    <row r="136" spans="3:13" ht="15" x14ac:dyDescent="0.25">
      <c r="D136" s="160"/>
      <c r="H136" s="44"/>
      <c r="J136" s="44"/>
    </row>
    <row r="138" spans="3:13" x14ac:dyDescent="0.2">
      <c r="C138" s="119"/>
      <c r="H138" s="44"/>
      <c r="J138" s="44"/>
    </row>
    <row r="139" spans="3:13" x14ac:dyDescent="0.2">
      <c r="F139" s="44"/>
    </row>
    <row r="141" spans="3:13" ht="15" x14ac:dyDescent="0.25">
      <c r="D141" s="160"/>
      <c r="I141" s="42"/>
      <c r="J141" s="45"/>
      <c r="K141" s="44"/>
      <c r="L141" s="44"/>
      <c r="M141" s="44"/>
    </row>
    <row r="142" spans="3:13" x14ac:dyDescent="0.2">
      <c r="I142" s="42"/>
      <c r="J142" s="45"/>
      <c r="K142" s="44"/>
      <c r="L142" s="44"/>
      <c r="M142" s="44"/>
    </row>
    <row r="143" spans="3:13" x14ac:dyDescent="0.2">
      <c r="I143" s="42"/>
      <c r="J143" s="45"/>
      <c r="K143" s="44"/>
      <c r="L143" s="44"/>
      <c r="M143" s="44"/>
    </row>
    <row r="144" spans="3:13" x14ac:dyDescent="0.2">
      <c r="I144" s="42"/>
      <c r="J144" s="45"/>
      <c r="K144" s="44"/>
      <c r="L144" s="44"/>
      <c r="M144" s="44"/>
    </row>
    <row r="145" spans="4:13" x14ac:dyDescent="0.2">
      <c r="I145" s="42"/>
      <c r="J145" s="45"/>
      <c r="K145" s="44"/>
      <c r="L145" s="44"/>
      <c r="M145" s="44"/>
    </row>
    <row r="146" spans="4:13" x14ac:dyDescent="0.2">
      <c r="I146" s="42"/>
      <c r="J146" s="45"/>
      <c r="K146" s="44"/>
      <c r="L146" s="44"/>
      <c r="M146" s="44"/>
    </row>
    <row r="147" spans="4:13" x14ac:dyDescent="0.2">
      <c r="I147" s="42"/>
      <c r="J147" s="45"/>
      <c r="K147" s="44"/>
      <c r="L147" s="44"/>
      <c r="M147" s="44"/>
    </row>
    <row r="148" spans="4:13" x14ac:dyDescent="0.2">
      <c r="I148" s="42"/>
      <c r="J148" s="45"/>
      <c r="K148" s="44"/>
      <c r="L148" s="44"/>
      <c r="M148" s="44"/>
    </row>
    <row r="149" spans="4:13" x14ac:dyDescent="0.2">
      <c r="D149" s="3" t="e">
        <f>D151/H133</f>
        <v>#DIV/0!</v>
      </c>
      <c r="H149" s="2" t="s">
        <v>179</v>
      </c>
      <c r="I149" s="42"/>
      <c r="J149" s="45"/>
      <c r="K149" s="44"/>
      <c r="L149" s="44"/>
      <c r="M149" s="44"/>
    </row>
    <row r="150" spans="4:13" x14ac:dyDescent="0.2">
      <c r="H150" s="2" t="s">
        <v>180</v>
      </c>
      <c r="I150" s="42"/>
      <c r="J150" s="45"/>
      <c r="K150" s="44"/>
      <c r="L150" s="44"/>
      <c r="M150" s="44"/>
    </row>
    <row r="151" spans="4:13" x14ac:dyDescent="0.2">
      <c r="D151" s="3">
        <v>542637</v>
      </c>
      <c r="I151" s="42"/>
      <c r="J151" s="45"/>
      <c r="K151" s="44"/>
      <c r="L151" s="44"/>
      <c r="M151" s="44"/>
    </row>
    <row r="152" spans="4:13" x14ac:dyDescent="0.2">
      <c r="I152" s="42"/>
      <c r="J152" s="45"/>
      <c r="K152" s="44"/>
      <c r="L152" s="44"/>
      <c r="M152" s="44"/>
    </row>
    <row r="153" spans="4:13" x14ac:dyDescent="0.2">
      <c r="I153" s="42"/>
      <c r="J153" s="45"/>
      <c r="K153" s="44"/>
      <c r="L153" s="44"/>
      <c r="M153" s="44"/>
    </row>
    <row r="154" spans="4:13" x14ac:dyDescent="0.2">
      <c r="I154" s="42"/>
      <c r="J154" s="45"/>
      <c r="K154" s="44"/>
      <c r="L154" s="44"/>
      <c r="M154" s="44"/>
    </row>
    <row r="157" spans="4:13" x14ac:dyDescent="0.2">
      <c r="I157" s="44"/>
      <c r="J157" s="45"/>
      <c r="K157" s="44"/>
      <c r="L157" s="44"/>
    </row>
    <row r="159" spans="4:13" x14ac:dyDescent="0.2">
      <c r="D159" s="3">
        <f>D133*1.05</f>
        <v>0</v>
      </c>
    </row>
    <row r="160" spans="4:13" x14ac:dyDescent="0.2">
      <c r="D160" s="3">
        <f>D159+D136</f>
        <v>0</v>
      </c>
    </row>
  </sheetData>
  <mergeCells count="14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  <mergeCell ref="Q13:Q16"/>
    <mergeCell ref="Q32:Q34"/>
  </mergeCells>
  <printOptions horizontalCentered="1"/>
  <pageMargins left="0.44" right="0.39370078740157483" top="0.31496062992125984" bottom="0.39370078740157483" header="0" footer="0"/>
  <pageSetup paperSize="5" scale="49" orientation="landscape" horizontalDpi="200" verticalDpi="200" r:id="rId1"/>
  <headerFooter alignWithMargins="0">
    <oddFooter>Página &amp;P de &amp;N</oddFooter>
  </headerFooter>
  <rowBreaks count="1" manualBreakCount="1">
    <brk id="65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topLeftCell="A4" zoomScale="60" zoomScaleNormal="80" workbookViewId="0">
      <selection activeCell="N24" sqref="N24"/>
    </sheetView>
  </sheetViews>
  <sheetFormatPr baseColWidth="10" defaultRowHeight="12.75" x14ac:dyDescent="0.2"/>
  <cols>
    <col min="1" max="1" width="6.140625" style="1" bestFit="1" customWidth="1"/>
    <col min="2" max="2" width="6.28515625" style="1" bestFit="1" customWidth="1"/>
    <col min="3" max="3" width="37.7109375" style="57" customWidth="1"/>
    <col min="4" max="4" width="21.140625" style="3" bestFit="1" customWidth="1"/>
    <col min="5" max="5" width="16.85546875" style="2" bestFit="1" customWidth="1"/>
    <col min="6" max="6" width="18" style="2" bestFit="1" customWidth="1"/>
    <col min="7" max="7" width="22.5703125" style="2" customWidth="1"/>
    <col min="8" max="9" width="16.5703125" style="2" bestFit="1" customWidth="1"/>
    <col min="10" max="10" width="16.140625" style="2" bestFit="1" customWidth="1"/>
    <col min="11" max="11" width="16.5703125" style="2" bestFit="1" customWidth="1"/>
    <col min="12" max="12" width="17.42578125" style="2" customWidth="1"/>
    <col min="13" max="14" width="15.85546875" style="2" customWidth="1"/>
    <col min="15" max="15" width="16" style="2" customWidth="1"/>
    <col min="16" max="16" width="16.7109375" style="2" customWidth="1"/>
    <col min="17" max="17" width="38.85546875" style="43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M1" s="4"/>
      <c r="N1" s="4"/>
      <c r="O1" s="5"/>
      <c r="P1" s="5"/>
      <c r="Q1" s="6" t="s">
        <v>263</v>
      </c>
      <c r="V1" s="7"/>
      <c r="W1" s="7"/>
    </row>
    <row r="2" spans="1:23" ht="27" customHeight="1" x14ac:dyDescent="0.2">
      <c r="A2" s="8"/>
      <c r="B2" s="8"/>
      <c r="C2" s="58"/>
      <c r="E2" s="8"/>
      <c r="F2" s="8"/>
      <c r="G2" s="8"/>
      <c r="H2" s="8"/>
      <c r="I2" s="8"/>
      <c r="J2" s="8"/>
      <c r="K2" s="8"/>
      <c r="M2" s="9"/>
      <c r="N2" s="5"/>
      <c r="O2" s="5"/>
      <c r="P2" s="5"/>
      <c r="Q2" s="6" t="s">
        <v>137</v>
      </c>
      <c r="V2" s="7"/>
      <c r="W2" s="7"/>
    </row>
    <row r="3" spans="1:23" ht="3" customHeight="1" x14ac:dyDescent="0.2">
      <c r="A3" s="2"/>
      <c r="B3" s="2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1"/>
      <c r="C4" s="59"/>
      <c r="D4" s="12"/>
      <c r="E4" s="11"/>
      <c r="F4" s="11"/>
      <c r="G4" s="11"/>
      <c r="H4" s="11"/>
      <c r="I4" s="11"/>
      <c r="J4" s="11"/>
      <c r="K4" s="11"/>
      <c r="M4" s="485" t="s">
        <v>198</v>
      </c>
      <c r="N4" s="485"/>
      <c r="O4" s="485"/>
      <c r="P4" s="485"/>
      <c r="Q4" s="485"/>
      <c r="V4" s="7"/>
      <c r="W4" s="7"/>
    </row>
    <row r="5" spans="1:23" ht="12.75" customHeight="1" x14ac:dyDescent="0.2">
      <c r="A5" s="11"/>
      <c r="B5" s="11"/>
      <c r="C5" s="59"/>
      <c r="D5" s="12"/>
      <c r="E5" s="11"/>
      <c r="F5" s="11"/>
      <c r="G5" s="11"/>
      <c r="H5" s="11"/>
      <c r="I5" s="11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1"/>
      <c r="C6" s="476" t="s">
        <v>255</v>
      </c>
      <c r="D6" s="477"/>
      <c r="E6" s="477"/>
      <c r="F6" s="477"/>
      <c r="G6" s="477"/>
      <c r="H6" s="477"/>
      <c r="I6" s="477"/>
      <c r="J6" s="477"/>
      <c r="K6" s="11"/>
      <c r="M6" s="485" t="s">
        <v>23</v>
      </c>
      <c r="N6" s="485"/>
      <c r="O6" s="485"/>
      <c r="P6" s="485"/>
      <c r="Q6" s="485"/>
      <c r="V6" s="7"/>
      <c r="W6" s="7"/>
    </row>
    <row r="7" spans="1:23" ht="12.75" customHeight="1" x14ac:dyDescent="0.2">
      <c r="A7" s="11"/>
      <c r="B7" s="11"/>
      <c r="C7" s="477"/>
      <c r="D7" s="477"/>
      <c r="E7" s="477"/>
      <c r="F7" s="477"/>
      <c r="G7" s="477"/>
      <c r="H7" s="477"/>
      <c r="I7" s="477"/>
      <c r="J7" s="477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1"/>
      <c r="C8" s="477"/>
      <c r="D8" s="477"/>
      <c r="E8" s="477"/>
      <c r="F8" s="477"/>
      <c r="G8" s="477"/>
      <c r="H8" s="477"/>
      <c r="I8" s="477"/>
      <c r="J8" s="477"/>
      <c r="K8" s="11"/>
      <c r="M8" s="485" t="s">
        <v>24</v>
      </c>
      <c r="N8" s="485"/>
      <c r="O8" s="485"/>
      <c r="P8" s="485"/>
      <c r="Q8" s="485"/>
      <c r="V8" s="7"/>
      <c r="W8" s="7"/>
    </row>
    <row r="9" spans="1:23" s="14" customFormat="1" ht="12.75" customHeight="1" x14ac:dyDescent="0.2">
      <c r="A9" s="11"/>
      <c r="B9" s="11"/>
      <c r="C9" s="59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5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478" t="s">
        <v>21</v>
      </c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479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x14ac:dyDescent="0.2">
      <c r="A13" s="53">
        <v>1131</v>
      </c>
      <c r="B13" s="19"/>
      <c r="C13" s="52" t="s">
        <v>28</v>
      </c>
      <c r="D13" s="61">
        <f>SUM(E13:P13)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7"/>
      <c r="R13" s="472"/>
    </row>
    <row r="14" spans="1:23" s="21" customFormat="1" x14ac:dyDescent="0.2">
      <c r="A14" s="53">
        <v>1211</v>
      </c>
      <c r="B14" s="19"/>
      <c r="C14" s="52" t="s">
        <v>29</v>
      </c>
      <c r="D14" s="61">
        <f t="shared" ref="D14:D27" si="0">SUM(E14:P14)</f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47"/>
      <c r="R14" s="472"/>
    </row>
    <row r="15" spans="1:23" s="21" customFormat="1" ht="24" x14ac:dyDescent="0.2">
      <c r="A15" s="53">
        <v>1311</v>
      </c>
      <c r="B15" s="19"/>
      <c r="C15" s="52" t="s">
        <v>30</v>
      </c>
      <c r="D15" s="61">
        <f t="shared" si="0"/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47"/>
      <c r="R15" s="472"/>
    </row>
    <row r="16" spans="1:23" s="21" customFormat="1" x14ac:dyDescent="0.2">
      <c r="A16" s="53">
        <v>1321</v>
      </c>
      <c r="B16" s="19"/>
      <c r="C16" s="52" t="s">
        <v>31</v>
      </c>
      <c r="D16" s="61">
        <f t="shared" si="0"/>
        <v>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47"/>
      <c r="R16" s="472"/>
    </row>
    <row r="17" spans="1:20" s="21" customFormat="1" x14ac:dyDescent="0.2">
      <c r="A17" s="53">
        <v>1322</v>
      </c>
      <c r="B17" s="19"/>
      <c r="C17" s="52" t="s">
        <v>32</v>
      </c>
      <c r="D17" s="61">
        <f t="shared" si="0"/>
        <v>49000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>
        <v>49000</v>
      </c>
      <c r="Q17" s="47"/>
      <c r="R17" s="472"/>
    </row>
    <row r="18" spans="1:20" s="21" customFormat="1" x14ac:dyDescent="0.2">
      <c r="A18" s="53">
        <v>1343</v>
      </c>
      <c r="B18" s="19"/>
      <c r="C18" s="52" t="s">
        <v>33</v>
      </c>
      <c r="D18" s="61">
        <f t="shared" si="0"/>
        <v>0</v>
      </c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47"/>
      <c r="R18" s="472"/>
    </row>
    <row r="19" spans="1:20" s="21" customFormat="1" ht="24" x14ac:dyDescent="0.2">
      <c r="A19" s="53">
        <v>1411</v>
      </c>
      <c r="B19" s="19"/>
      <c r="C19" s="52" t="s">
        <v>34</v>
      </c>
      <c r="D19" s="61">
        <f t="shared" si="0"/>
        <v>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47"/>
      <c r="R19" s="472"/>
    </row>
    <row r="20" spans="1:20" s="21" customFormat="1" x14ac:dyDescent="0.2">
      <c r="A20" s="53">
        <v>1421</v>
      </c>
      <c r="B20" s="19"/>
      <c r="C20" s="52" t="s">
        <v>35</v>
      </c>
      <c r="D20" s="61">
        <f t="shared" si="0"/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47"/>
      <c r="R20" s="472"/>
    </row>
    <row r="21" spans="1:20" s="21" customFormat="1" x14ac:dyDescent="0.2">
      <c r="A21" s="53">
        <v>1431</v>
      </c>
      <c r="B21" s="19"/>
      <c r="C21" s="52" t="s">
        <v>36</v>
      </c>
      <c r="D21" s="61">
        <f t="shared" si="0"/>
        <v>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47"/>
      <c r="R21" s="472"/>
    </row>
    <row r="22" spans="1:20" s="21" customFormat="1" ht="24" x14ac:dyDescent="0.2">
      <c r="A22" s="53">
        <v>1432</v>
      </c>
      <c r="B22" s="19"/>
      <c r="C22" s="52" t="s">
        <v>37</v>
      </c>
      <c r="D22" s="61">
        <f t="shared" si="0"/>
        <v>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47"/>
      <c r="R22" s="472"/>
    </row>
    <row r="23" spans="1:20" s="21" customFormat="1" x14ac:dyDescent="0.2">
      <c r="A23" s="53">
        <v>1543</v>
      </c>
      <c r="B23" s="19"/>
      <c r="C23" s="52" t="s">
        <v>38</v>
      </c>
      <c r="D23" s="61">
        <f t="shared" si="0"/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47"/>
      <c r="R23" s="472"/>
    </row>
    <row r="24" spans="1:20" s="21" customFormat="1" x14ac:dyDescent="0.2">
      <c r="A24" s="53">
        <v>1611</v>
      </c>
      <c r="B24" s="19"/>
      <c r="C24" s="52" t="s">
        <v>121</v>
      </c>
      <c r="D24" s="61">
        <f t="shared" si="0"/>
        <v>0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47"/>
      <c r="R24" s="472"/>
    </row>
    <row r="25" spans="1:20" s="21" customFormat="1" x14ac:dyDescent="0.2">
      <c r="A25" s="53">
        <v>1715</v>
      </c>
      <c r="B25" s="19"/>
      <c r="C25" s="52" t="s">
        <v>39</v>
      </c>
      <c r="D25" s="61">
        <f t="shared" si="0"/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47"/>
      <c r="R25" s="472"/>
    </row>
    <row r="26" spans="1:20" s="21" customFormat="1" x14ac:dyDescent="0.2">
      <c r="A26" s="53">
        <v>1719</v>
      </c>
      <c r="B26" s="19"/>
      <c r="C26" s="52" t="s">
        <v>40</v>
      </c>
      <c r="D26" s="61">
        <f t="shared" si="0"/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70">
        <f>P26/2</f>
        <v>0</v>
      </c>
      <c r="R26" s="472"/>
    </row>
    <row r="27" spans="1:20" s="21" customFormat="1" x14ac:dyDescent="0.2">
      <c r="A27" s="53">
        <v>1712</v>
      </c>
      <c r="B27" s="19"/>
      <c r="C27" s="52" t="s">
        <v>41</v>
      </c>
      <c r="D27" s="61">
        <f t="shared" si="0"/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47"/>
      <c r="R27" s="472"/>
    </row>
    <row r="28" spans="1:20" s="11" customFormat="1" ht="25.5" x14ac:dyDescent="0.2">
      <c r="A28" s="22"/>
      <c r="B28" s="22"/>
      <c r="C28" s="62" t="s">
        <v>16</v>
      </c>
      <c r="D28" s="65">
        <f t="shared" ref="D28:P28" si="1">SUM(D13:D27)</f>
        <v>49000</v>
      </c>
      <c r="E28" s="24">
        <f t="shared" si="1"/>
        <v>0</v>
      </c>
      <c r="F28" s="24">
        <f t="shared" si="1"/>
        <v>0</v>
      </c>
      <c r="G28" s="24">
        <f t="shared" si="1"/>
        <v>0</v>
      </c>
      <c r="H28" s="24">
        <f t="shared" si="1"/>
        <v>0</v>
      </c>
      <c r="I28" s="24">
        <f t="shared" si="1"/>
        <v>0</v>
      </c>
      <c r="J28" s="24">
        <f t="shared" si="1"/>
        <v>0</v>
      </c>
      <c r="K28" s="24">
        <f t="shared" si="1"/>
        <v>0</v>
      </c>
      <c r="L28" s="24">
        <f t="shared" si="1"/>
        <v>0</v>
      </c>
      <c r="M28" s="24">
        <f t="shared" si="1"/>
        <v>0</v>
      </c>
      <c r="N28" s="24">
        <f t="shared" si="1"/>
        <v>0</v>
      </c>
      <c r="O28" s="24">
        <f t="shared" si="1"/>
        <v>0</v>
      </c>
      <c r="P28" s="24">
        <f t="shared" si="1"/>
        <v>49000</v>
      </c>
      <c r="Q28" s="25"/>
      <c r="R28" s="26"/>
      <c r="T28" s="46"/>
    </row>
    <row r="29" spans="1:20" s="21" customFormat="1" ht="24" x14ac:dyDescent="0.2">
      <c r="A29" s="54">
        <v>2111</v>
      </c>
      <c r="B29" s="64"/>
      <c r="C29" s="49" t="s">
        <v>42</v>
      </c>
      <c r="D29" s="61">
        <f t="shared" ref="D29:D92" si="2">SUM(E29:P29)</f>
        <v>0</v>
      </c>
      <c r="E29" s="28"/>
      <c r="F29" s="29"/>
      <c r="G29" s="29"/>
      <c r="H29" s="29"/>
      <c r="I29" s="28"/>
      <c r="J29" s="29"/>
      <c r="K29" s="29"/>
      <c r="L29" s="28"/>
      <c r="M29" s="29"/>
      <c r="N29" s="28"/>
      <c r="O29" s="29"/>
      <c r="P29" s="29"/>
      <c r="Q29" s="30"/>
    </row>
    <row r="30" spans="1:20" s="21" customFormat="1" ht="24" x14ac:dyDescent="0.2">
      <c r="A30" s="54">
        <v>2121</v>
      </c>
      <c r="B30" s="64"/>
      <c r="C30" s="49" t="s">
        <v>123</v>
      </c>
      <c r="D30" s="61">
        <f t="shared" si="2"/>
        <v>0</v>
      </c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1" spans="1:20" s="21" customFormat="1" ht="36" x14ac:dyDescent="0.2">
      <c r="A31" s="54">
        <v>2141</v>
      </c>
      <c r="B31" s="64"/>
      <c r="C31" s="49" t="s">
        <v>43</v>
      </c>
      <c r="D31" s="61">
        <f t="shared" si="2"/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30"/>
    </row>
    <row r="32" spans="1:20" s="21" customFormat="1" ht="14.25" x14ac:dyDescent="0.2">
      <c r="A32" s="54">
        <v>2151</v>
      </c>
      <c r="B32" s="64"/>
      <c r="C32" s="49" t="s">
        <v>44</v>
      </c>
      <c r="D32" s="61">
        <f t="shared" si="2"/>
        <v>0</v>
      </c>
      <c r="E32" s="28"/>
      <c r="F32" s="29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1:17" s="21" customFormat="1" ht="14.25" x14ac:dyDescent="0.2">
      <c r="A33" s="54">
        <v>2161</v>
      </c>
      <c r="B33" s="64"/>
      <c r="C33" s="49" t="s">
        <v>45</v>
      </c>
      <c r="D33" s="61">
        <f t="shared" si="2"/>
        <v>0</v>
      </c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30"/>
    </row>
    <row r="34" spans="1:17" s="21" customFormat="1" ht="14.25" x14ac:dyDescent="0.2">
      <c r="A34" s="54">
        <v>2171</v>
      </c>
      <c r="B34" s="64"/>
      <c r="C34" s="49" t="s">
        <v>46</v>
      </c>
      <c r="D34" s="61">
        <f t="shared" si="2"/>
        <v>0</v>
      </c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</row>
    <row r="35" spans="1:17" s="21" customFormat="1" ht="24" x14ac:dyDescent="0.2">
      <c r="A35" s="54">
        <v>2211</v>
      </c>
      <c r="B35" s="64"/>
      <c r="C35" s="49" t="s">
        <v>47</v>
      </c>
      <c r="D35" s="61">
        <f t="shared" si="2"/>
        <v>10000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>
        <v>5000</v>
      </c>
      <c r="P35" s="28">
        <v>5000</v>
      </c>
      <c r="Q35" s="30"/>
    </row>
    <row r="36" spans="1:17" s="21" customFormat="1" ht="14.25" x14ac:dyDescent="0.2">
      <c r="A36" s="54">
        <v>2221</v>
      </c>
      <c r="B36" s="64"/>
      <c r="C36" s="49" t="s">
        <v>48</v>
      </c>
      <c r="D36" s="61">
        <f t="shared" si="2"/>
        <v>0</v>
      </c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s="21" customFormat="1" ht="14.25" x14ac:dyDescent="0.2">
      <c r="A37" s="54">
        <v>2231</v>
      </c>
      <c r="B37" s="64"/>
      <c r="C37" s="49" t="s">
        <v>49</v>
      </c>
      <c r="D37" s="61">
        <f t="shared" si="2"/>
        <v>0</v>
      </c>
      <c r="E37" s="28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</row>
    <row r="38" spans="1:17" s="21" customFormat="1" ht="14.25" x14ac:dyDescent="0.2">
      <c r="A38" s="54">
        <v>2411</v>
      </c>
      <c r="B38" s="64"/>
      <c r="C38" s="49" t="s">
        <v>50</v>
      </c>
      <c r="D38" s="61">
        <f t="shared" si="2"/>
        <v>0</v>
      </c>
      <c r="E38" s="2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s="21" customFormat="1" ht="14.25" x14ac:dyDescent="0.2">
      <c r="A39" s="54">
        <v>2421</v>
      </c>
      <c r="B39" s="64"/>
      <c r="C39" s="49" t="s">
        <v>51</v>
      </c>
      <c r="D39" s="61">
        <f t="shared" si="2"/>
        <v>0</v>
      </c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0"/>
    </row>
    <row r="40" spans="1:17" s="21" customFormat="1" ht="14.25" x14ac:dyDescent="0.2">
      <c r="A40" s="54">
        <v>2431</v>
      </c>
      <c r="B40" s="64"/>
      <c r="C40" s="49" t="s">
        <v>52</v>
      </c>
      <c r="D40" s="61">
        <f t="shared" si="2"/>
        <v>0</v>
      </c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7" s="21" customFormat="1" ht="14.25" x14ac:dyDescent="0.2">
      <c r="A41" s="54">
        <v>2441</v>
      </c>
      <c r="B41" s="64"/>
      <c r="C41" s="49" t="s">
        <v>53</v>
      </c>
      <c r="D41" s="61">
        <f t="shared" si="2"/>
        <v>0</v>
      </c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1:17" s="21" customFormat="1" ht="14.25" x14ac:dyDescent="0.2">
      <c r="A42" s="54">
        <v>2451</v>
      </c>
      <c r="B42" s="64"/>
      <c r="C42" s="49" t="s">
        <v>54</v>
      </c>
      <c r="D42" s="61">
        <f t="shared" si="2"/>
        <v>0</v>
      </c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0"/>
    </row>
    <row r="43" spans="1:17" s="21" customFormat="1" ht="14.25" x14ac:dyDescent="0.2">
      <c r="A43" s="54">
        <v>2461</v>
      </c>
      <c r="B43" s="64"/>
      <c r="C43" s="49" t="s">
        <v>55</v>
      </c>
      <c r="D43" s="61">
        <f t="shared" si="2"/>
        <v>0</v>
      </c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</row>
    <row r="44" spans="1:17" s="21" customFormat="1" ht="14.25" x14ac:dyDescent="0.2">
      <c r="A44" s="55">
        <v>2471</v>
      </c>
      <c r="B44" s="31"/>
      <c r="C44" s="49" t="s">
        <v>56</v>
      </c>
      <c r="D44" s="61">
        <f t="shared" si="2"/>
        <v>0</v>
      </c>
      <c r="E44" s="28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30"/>
    </row>
    <row r="45" spans="1:17" s="21" customFormat="1" ht="14.25" x14ac:dyDescent="0.2">
      <c r="A45" s="55">
        <v>2481</v>
      </c>
      <c r="B45" s="31"/>
      <c r="C45" s="49" t="s">
        <v>57</v>
      </c>
      <c r="D45" s="61">
        <f t="shared" si="2"/>
        <v>0</v>
      </c>
      <c r="E45" s="2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/>
    </row>
    <row r="46" spans="1:17" s="21" customFormat="1" ht="24" x14ac:dyDescent="0.2">
      <c r="A46" s="54">
        <v>2491</v>
      </c>
      <c r="B46" s="64"/>
      <c r="C46" s="49" t="s">
        <v>58</v>
      </c>
      <c r="D46" s="61">
        <f t="shared" si="2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0"/>
    </row>
    <row r="47" spans="1:17" s="21" customFormat="1" ht="14.25" x14ac:dyDescent="0.2">
      <c r="A47" s="54">
        <v>2511</v>
      </c>
      <c r="B47" s="64"/>
      <c r="C47" s="49" t="s">
        <v>59</v>
      </c>
      <c r="D47" s="61">
        <f t="shared" si="2"/>
        <v>0</v>
      </c>
      <c r="E47" s="28"/>
      <c r="F47" s="29"/>
      <c r="G47" s="28"/>
      <c r="H47" s="29"/>
      <c r="I47" s="29"/>
      <c r="J47" s="29"/>
      <c r="K47" s="28"/>
      <c r="L47" s="29"/>
      <c r="M47" s="29"/>
      <c r="N47" s="29"/>
      <c r="O47" s="29"/>
      <c r="P47" s="29"/>
      <c r="Q47" s="30"/>
    </row>
    <row r="48" spans="1:17" s="21" customFormat="1" ht="14.25" x14ac:dyDescent="0.2">
      <c r="A48" s="54">
        <v>2521</v>
      </c>
      <c r="B48" s="64"/>
      <c r="C48" s="49" t="s">
        <v>60</v>
      </c>
      <c r="D48" s="61">
        <f t="shared" si="2"/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30"/>
    </row>
    <row r="49" spans="1:17" s="21" customFormat="1" ht="14.25" x14ac:dyDescent="0.2">
      <c r="A49" s="54">
        <v>2531</v>
      </c>
      <c r="B49" s="64"/>
      <c r="C49" s="49" t="s">
        <v>61</v>
      </c>
      <c r="D49" s="61">
        <f t="shared" si="2"/>
        <v>0</v>
      </c>
      <c r="E49" s="28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29"/>
      <c r="Q49" s="30"/>
    </row>
    <row r="50" spans="1:17" s="21" customFormat="1" ht="24" x14ac:dyDescent="0.2">
      <c r="A50" s="54">
        <v>2541</v>
      </c>
      <c r="B50" s="64"/>
      <c r="C50" s="49" t="s">
        <v>62</v>
      </c>
      <c r="D50" s="61">
        <f t="shared" si="2"/>
        <v>0</v>
      </c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s="21" customFormat="1" ht="24" x14ac:dyDescent="0.2">
      <c r="A51" s="54">
        <v>2551</v>
      </c>
      <c r="B51" s="64"/>
      <c r="C51" s="49" t="s">
        <v>63</v>
      </c>
      <c r="D51" s="61">
        <f t="shared" si="2"/>
        <v>0</v>
      </c>
      <c r="E51" s="28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</row>
    <row r="52" spans="1:17" s="21" customFormat="1" ht="14.25" x14ac:dyDescent="0.2">
      <c r="A52" s="54">
        <v>2561</v>
      </c>
      <c r="B52" s="64"/>
      <c r="C52" s="49" t="s">
        <v>64</v>
      </c>
      <c r="D52" s="61">
        <f t="shared" si="2"/>
        <v>0</v>
      </c>
      <c r="E52" s="28"/>
      <c r="F52" s="29"/>
      <c r="G52" s="29"/>
      <c r="H52" s="29"/>
      <c r="I52" s="28"/>
      <c r="J52" s="29"/>
      <c r="K52" s="29"/>
      <c r="L52" s="28"/>
      <c r="M52" s="29"/>
      <c r="N52" s="29"/>
      <c r="O52" s="28"/>
      <c r="P52" s="29"/>
      <c r="Q52" s="30"/>
    </row>
    <row r="53" spans="1:17" s="21" customFormat="1" ht="14.25" x14ac:dyDescent="0.2">
      <c r="A53" s="54">
        <v>2591</v>
      </c>
      <c r="B53" s="64"/>
      <c r="C53" s="49" t="s">
        <v>65</v>
      </c>
      <c r="D53" s="61">
        <f t="shared" si="2"/>
        <v>0</v>
      </c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</row>
    <row r="54" spans="1:17" s="21" customFormat="1" ht="14.25" x14ac:dyDescent="0.2">
      <c r="A54" s="54">
        <v>2611</v>
      </c>
      <c r="B54" s="64"/>
      <c r="C54" s="49" t="s">
        <v>66</v>
      </c>
      <c r="D54" s="61">
        <f t="shared" si="2"/>
        <v>58000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>
        <v>38000</v>
      </c>
      <c r="P54" s="28">
        <v>20000</v>
      </c>
      <c r="Q54" s="30"/>
    </row>
    <row r="55" spans="1:17" s="21" customFormat="1" ht="14.25" x14ac:dyDescent="0.2">
      <c r="A55" s="54">
        <v>2612</v>
      </c>
      <c r="B55" s="64"/>
      <c r="C55" s="49" t="s">
        <v>67</v>
      </c>
      <c r="D55" s="61">
        <f t="shared" si="2"/>
        <v>0</v>
      </c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</row>
    <row r="56" spans="1:17" s="21" customFormat="1" ht="14.25" x14ac:dyDescent="0.2">
      <c r="A56" s="54">
        <v>2711</v>
      </c>
      <c r="B56" s="64"/>
      <c r="C56" s="49" t="s">
        <v>68</v>
      </c>
      <c r="D56" s="61">
        <f t="shared" si="2"/>
        <v>0</v>
      </c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</row>
    <row r="57" spans="1:17" s="21" customFormat="1" ht="14.25" x14ac:dyDescent="0.2">
      <c r="A57" s="54">
        <v>2721</v>
      </c>
      <c r="B57" s="64"/>
      <c r="C57" s="49" t="s">
        <v>69</v>
      </c>
      <c r="D57" s="61">
        <f t="shared" si="2"/>
        <v>0</v>
      </c>
      <c r="E57" s="2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</row>
    <row r="58" spans="1:17" s="21" customFormat="1" ht="14.25" x14ac:dyDescent="0.2">
      <c r="A58" s="54">
        <v>2731</v>
      </c>
      <c r="B58" s="64"/>
      <c r="C58" s="49" t="s">
        <v>70</v>
      </c>
      <c r="D58" s="61">
        <f t="shared" si="2"/>
        <v>0</v>
      </c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</row>
    <row r="59" spans="1:17" s="21" customFormat="1" ht="14.25" x14ac:dyDescent="0.2">
      <c r="A59" s="54">
        <v>2911</v>
      </c>
      <c r="B59" s="64"/>
      <c r="C59" s="51" t="s">
        <v>71</v>
      </c>
      <c r="D59" s="61">
        <f t="shared" si="2"/>
        <v>0</v>
      </c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</row>
    <row r="60" spans="1:17" s="21" customFormat="1" ht="24" x14ac:dyDescent="0.2">
      <c r="A60" s="54">
        <v>2921</v>
      </c>
      <c r="B60" s="64"/>
      <c r="C60" s="51" t="s">
        <v>72</v>
      </c>
      <c r="D60" s="61">
        <f t="shared" si="2"/>
        <v>0</v>
      </c>
      <c r="E60" s="2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</row>
    <row r="61" spans="1:17" s="21" customFormat="1" ht="36" x14ac:dyDescent="0.2">
      <c r="A61" s="54">
        <v>2931</v>
      </c>
      <c r="B61" s="64"/>
      <c r="C61" s="51" t="s">
        <v>73</v>
      </c>
      <c r="D61" s="61">
        <f t="shared" si="2"/>
        <v>0</v>
      </c>
      <c r="E61" s="2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</row>
    <row r="62" spans="1:17" s="21" customFormat="1" ht="36" x14ac:dyDescent="0.2">
      <c r="A62" s="54">
        <v>2941</v>
      </c>
      <c r="B62" s="64"/>
      <c r="C62" s="51" t="s">
        <v>74</v>
      </c>
      <c r="D62" s="61">
        <f t="shared" si="2"/>
        <v>0</v>
      </c>
      <c r="E62" s="28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</row>
    <row r="63" spans="1:17" s="21" customFormat="1" ht="36" x14ac:dyDescent="0.2">
      <c r="A63" s="54">
        <v>2951</v>
      </c>
      <c r="B63" s="64"/>
      <c r="C63" s="51" t="s">
        <v>75</v>
      </c>
      <c r="D63" s="61">
        <f t="shared" si="2"/>
        <v>0</v>
      </c>
      <c r="E63" s="28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</row>
    <row r="64" spans="1:17" s="21" customFormat="1" ht="24" x14ac:dyDescent="0.2">
      <c r="A64" s="54">
        <v>2961</v>
      </c>
      <c r="B64" s="64"/>
      <c r="C64" s="51" t="s">
        <v>76</v>
      </c>
      <c r="D64" s="61">
        <f>SUM(G64:P64)</f>
        <v>0</v>
      </c>
      <c r="E64" s="67"/>
      <c r="G64" s="28"/>
      <c r="H64" s="28"/>
      <c r="J64" s="28"/>
      <c r="L64" s="28"/>
      <c r="M64" s="28"/>
      <c r="N64" s="28"/>
      <c r="O64" s="28"/>
      <c r="P64" s="28"/>
      <c r="Q64" s="30"/>
    </row>
    <row r="65" spans="1:18" s="21" customFormat="1" ht="24" x14ac:dyDescent="0.2">
      <c r="A65" s="54">
        <v>2981</v>
      </c>
      <c r="B65" s="64"/>
      <c r="C65" s="51" t="s">
        <v>77</v>
      </c>
      <c r="D65" s="61">
        <f t="shared" si="2"/>
        <v>0</v>
      </c>
      <c r="E65" s="28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</row>
    <row r="66" spans="1:18" s="21" customFormat="1" ht="24" x14ac:dyDescent="0.2">
      <c r="A66" s="54">
        <v>2991</v>
      </c>
      <c r="B66" s="64"/>
      <c r="C66" s="51" t="s">
        <v>78</v>
      </c>
      <c r="D66" s="61">
        <f t="shared" si="2"/>
        <v>0</v>
      </c>
      <c r="E66" s="28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</row>
    <row r="67" spans="1:18" s="11" customFormat="1" ht="25.5" x14ac:dyDescent="0.2">
      <c r="A67" s="22"/>
      <c r="B67" s="22"/>
      <c r="C67" s="62" t="s">
        <v>17</v>
      </c>
      <c r="D67" s="66">
        <f>SUM(D29:D66)</f>
        <v>68000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  <c r="R67" s="26">
        <f>SUM(E67:Q67)</f>
        <v>0</v>
      </c>
    </row>
    <row r="68" spans="1:18" s="21" customFormat="1" ht="14.25" x14ac:dyDescent="0.2">
      <c r="A68" s="54">
        <v>3111</v>
      </c>
      <c r="B68" s="64"/>
      <c r="C68" s="49" t="s">
        <v>80</v>
      </c>
      <c r="D68" s="61">
        <f t="shared" si="2"/>
        <v>0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30"/>
    </row>
    <row r="69" spans="1:18" s="21" customFormat="1" ht="14.25" x14ac:dyDescent="0.2">
      <c r="A69" s="54">
        <v>3121</v>
      </c>
      <c r="B69" s="64"/>
      <c r="C69" s="49" t="s">
        <v>81</v>
      </c>
      <c r="D69" s="61">
        <f t="shared" si="2"/>
        <v>0</v>
      </c>
      <c r="E69" s="28"/>
      <c r="F69" s="29"/>
      <c r="G69" s="29"/>
      <c r="H69" s="29"/>
      <c r="I69" s="29"/>
      <c r="J69" s="28"/>
      <c r="K69" s="29"/>
      <c r="L69" s="28"/>
      <c r="M69" s="29"/>
      <c r="N69" s="28"/>
      <c r="O69" s="29"/>
      <c r="P69" s="29"/>
      <c r="Q69" s="30"/>
    </row>
    <row r="70" spans="1:18" s="21" customFormat="1" ht="14.25" x14ac:dyDescent="0.2">
      <c r="A70" s="54">
        <v>3141</v>
      </c>
      <c r="B70" s="64"/>
      <c r="C70" s="49" t="s">
        <v>82</v>
      </c>
      <c r="D70" s="61">
        <f>SUM(E70:P70)</f>
        <v>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</row>
    <row r="71" spans="1:18" s="21" customFormat="1" ht="14.25" x14ac:dyDescent="0.2">
      <c r="A71" s="54">
        <v>3151</v>
      </c>
      <c r="B71" s="64"/>
      <c r="C71" s="49" t="s">
        <v>83</v>
      </c>
      <c r="D71" s="61">
        <f>SUM(E71:P71)</f>
        <v>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30"/>
    </row>
    <row r="72" spans="1:18" s="21" customFormat="1" ht="24" x14ac:dyDescent="0.2">
      <c r="A72" s="54">
        <v>3171</v>
      </c>
      <c r="B72" s="64"/>
      <c r="C72" s="49" t="s">
        <v>84</v>
      </c>
      <c r="D72" s="61">
        <f t="shared" si="2"/>
        <v>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30"/>
    </row>
    <row r="73" spans="1:18" s="21" customFormat="1" ht="14.25" x14ac:dyDescent="0.2">
      <c r="A73" s="54">
        <v>3181</v>
      </c>
      <c r="B73" s="64"/>
      <c r="C73" s="49" t="s">
        <v>85</v>
      </c>
      <c r="D73" s="61">
        <f t="shared" si="2"/>
        <v>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30"/>
    </row>
    <row r="74" spans="1:18" s="21" customFormat="1" ht="14.25" x14ac:dyDescent="0.2">
      <c r="A74" s="54">
        <v>3221</v>
      </c>
      <c r="B74" s="64"/>
      <c r="C74" s="49" t="s">
        <v>86</v>
      </c>
      <c r="D74" s="61">
        <f t="shared" si="2"/>
        <v>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0"/>
    </row>
    <row r="75" spans="1:18" s="21" customFormat="1" ht="14.25" x14ac:dyDescent="0.2">
      <c r="A75" s="56">
        <v>3231</v>
      </c>
      <c r="B75" s="32"/>
      <c r="C75" s="50" t="s">
        <v>87</v>
      </c>
      <c r="D75" s="61">
        <f t="shared" si="2"/>
        <v>0</v>
      </c>
      <c r="E75" s="28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30"/>
    </row>
    <row r="76" spans="1:18" s="21" customFormat="1" ht="24" x14ac:dyDescent="0.2">
      <c r="A76" s="54">
        <v>3261</v>
      </c>
      <c r="B76" s="64"/>
      <c r="C76" s="49" t="s">
        <v>88</v>
      </c>
      <c r="D76" s="61">
        <f t="shared" si="2"/>
        <v>0</v>
      </c>
      <c r="E76" s="28"/>
      <c r="F76" s="29"/>
      <c r="G76" s="29"/>
      <c r="H76" s="28"/>
      <c r="I76" s="28"/>
      <c r="J76" s="29"/>
      <c r="K76" s="29"/>
      <c r="L76" s="29"/>
      <c r="M76" s="29"/>
      <c r="N76" s="29"/>
      <c r="O76" s="29"/>
      <c r="P76" s="29"/>
      <c r="Q76" s="30"/>
    </row>
    <row r="77" spans="1:18" s="21" customFormat="1" ht="24" x14ac:dyDescent="0.2">
      <c r="A77" s="54">
        <v>3311</v>
      </c>
      <c r="B77" s="64"/>
      <c r="C77" s="49" t="s">
        <v>89</v>
      </c>
      <c r="D77" s="61">
        <f t="shared" si="2"/>
        <v>0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30"/>
    </row>
    <row r="78" spans="1:18" s="21" customFormat="1" ht="24" x14ac:dyDescent="0.2">
      <c r="A78" s="54">
        <v>3331</v>
      </c>
      <c r="B78" s="64"/>
      <c r="C78" s="49" t="s">
        <v>90</v>
      </c>
      <c r="D78" s="61">
        <f t="shared" si="2"/>
        <v>0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30"/>
    </row>
    <row r="79" spans="1:18" s="21" customFormat="1" ht="14.25" x14ac:dyDescent="0.2">
      <c r="A79" s="54">
        <v>3341</v>
      </c>
      <c r="B79" s="64"/>
      <c r="C79" s="49" t="s">
        <v>91</v>
      </c>
      <c r="D79" s="61">
        <f t="shared" si="2"/>
        <v>0</v>
      </c>
      <c r="E79" s="28"/>
      <c r="F79" s="29"/>
      <c r="G79" s="29"/>
      <c r="H79" s="29"/>
      <c r="I79" s="29"/>
      <c r="J79" s="29"/>
      <c r="K79" s="29"/>
      <c r="L79" s="28"/>
      <c r="M79" s="29"/>
      <c r="N79" s="29"/>
      <c r="O79" s="29"/>
      <c r="P79" s="29"/>
      <c r="Q79" s="30"/>
    </row>
    <row r="80" spans="1:18" s="21" customFormat="1" ht="14.25" x14ac:dyDescent="0.2">
      <c r="A80" s="54">
        <v>3342</v>
      </c>
      <c r="B80" s="64"/>
      <c r="C80" s="49" t="s">
        <v>92</v>
      </c>
      <c r="D80" s="61">
        <f t="shared" si="2"/>
        <v>0</v>
      </c>
      <c r="E80" s="28"/>
      <c r="F80" s="29"/>
      <c r="G80" s="29"/>
      <c r="H80" s="29"/>
      <c r="I80" s="29"/>
      <c r="J80" s="29"/>
      <c r="K80" s="28"/>
      <c r="L80" s="28"/>
      <c r="M80" s="29"/>
      <c r="N80" s="29"/>
      <c r="O80" s="29"/>
      <c r="P80" s="29"/>
      <c r="Q80" s="30"/>
    </row>
    <row r="81" spans="1:17" s="21" customFormat="1" ht="24" x14ac:dyDescent="0.2">
      <c r="A81" s="54">
        <v>3361</v>
      </c>
      <c r="B81" s="64"/>
      <c r="C81" s="49" t="s">
        <v>93</v>
      </c>
      <c r="D81" s="61">
        <f t="shared" si="2"/>
        <v>0</v>
      </c>
      <c r="E81" s="28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30"/>
    </row>
    <row r="82" spans="1:17" s="21" customFormat="1" ht="14.25" x14ac:dyDescent="0.2">
      <c r="A82" s="54">
        <v>3362</v>
      </c>
      <c r="B82" s="64"/>
      <c r="C82" s="49" t="s">
        <v>94</v>
      </c>
      <c r="D82" s="61">
        <f t="shared" si="2"/>
        <v>0</v>
      </c>
      <c r="E82" s="28"/>
      <c r="F82" s="29"/>
      <c r="G82" s="29"/>
      <c r="H82" s="29"/>
      <c r="I82" s="29"/>
      <c r="J82" s="29"/>
      <c r="K82" s="29"/>
      <c r="L82" s="29"/>
      <c r="M82" s="28"/>
      <c r="N82" s="29"/>
      <c r="O82" s="29"/>
      <c r="P82" s="29"/>
      <c r="Q82" s="30"/>
    </row>
    <row r="83" spans="1:17" s="21" customFormat="1" ht="14.25" x14ac:dyDescent="0.2">
      <c r="A83" s="54">
        <v>3381</v>
      </c>
      <c r="B83" s="64"/>
      <c r="C83" s="49" t="s">
        <v>95</v>
      </c>
      <c r="D83" s="61">
        <f t="shared" si="2"/>
        <v>0</v>
      </c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</row>
    <row r="84" spans="1:17" s="21" customFormat="1" ht="24" x14ac:dyDescent="0.2">
      <c r="A84" s="54">
        <v>3391</v>
      </c>
      <c r="B84" s="64"/>
      <c r="C84" s="49" t="s">
        <v>96</v>
      </c>
      <c r="D84" s="61">
        <f t="shared" si="2"/>
        <v>0</v>
      </c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30"/>
    </row>
    <row r="85" spans="1:17" s="21" customFormat="1" ht="14.25" x14ac:dyDescent="0.2">
      <c r="A85" s="54">
        <v>3411</v>
      </c>
      <c r="B85" s="64"/>
      <c r="C85" s="49" t="s">
        <v>97</v>
      </c>
      <c r="D85" s="61">
        <f t="shared" si="2"/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30"/>
    </row>
    <row r="86" spans="1:17" s="21" customFormat="1" ht="14.25" x14ac:dyDescent="0.2">
      <c r="A86" s="54">
        <v>3451</v>
      </c>
      <c r="B86" s="64"/>
      <c r="C86" s="49" t="s">
        <v>98</v>
      </c>
      <c r="D86" s="61">
        <f t="shared" si="2"/>
        <v>0</v>
      </c>
      <c r="E86" s="28"/>
      <c r="F86" s="29"/>
      <c r="G86" s="29"/>
      <c r="H86" s="29"/>
      <c r="I86" s="28"/>
      <c r="J86" s="29"/>
      <c r="K86" s="29"/>
      <c r="L86" s="29"/>
      <c r="M86" s="29"/>
      <c r="N86" s="28"/>
      <c r="O86" s="29"/>
      <c r="P86" s="29"/>
      <c r="Q86" s="30"/>
    </row>
    <row r="87" spans="1:17" s="21" customFormat="1" ht="14.25" x14ac:dyDescent="0.2">
      <c r="A87" s="54">
        <v>3471</v>
      </c>
      <c r="B87" s="64"/>
      <c r="C87" s="49" t="s">
        <v>99</v>
      </c>
      <c r="D87" s="61">
        <f t="shared" si="2"/>
        <v>0</v>
      </c>
      <c r="E87" s="28"/>
      <c r="F87" s="29"/>
      <c r="G87" s="29"/>
      <c r="H87" s="29"/>
      <c r="I87" s="28"/>
      <c r="J87" s="29"/>
      <c r="K87" s="29"/>
      <c r="L87" s="29"/>
      <c r="M87" s="29"/>
      <c r="N87" s="28"/>
      <c r="O87" s="29"/>
      <c r="P87" s="29"/>
      <c r="Q87" s="30"/>
    </row>
    <row r="88" spans="1:17" s="21" customFormat="1" ht="24" x14ac:dyDescent="0.2">
      <c r="A88" s="54">
        <v>3511</v>
      </c>
      <c r="B88" s="64"/>
      <c r="C88" s="49" t="s">
        <v>100</v>
      </c>
      <c r="D88" s="61">
        <f t="shared" si="2"/>
        <v>0</v>
      </c>
      <c r="E88" s="28"/>
      <c r="F88" s="29"/>
      <c r="G88" s="29"/>
      <c r="H88" s="29"/>
      <c r="I88" s="28"/>
      <c r="J88" s="29"/>
      <c r="K88" s="29"/>
      <c r="L88" s="29"/>
      <c r="M88" s="28"/>
      <c r="N88" s="29"/>
      <c r="O88" s="29"/>
      <c r="P88" s="29"/>
      <c r="Q88" s="30"/>
    </row>
    <row r="89" spans="1:17" s="34" customFormat="1" ht="36" x14ac:dyDescent="0.2">
      <c r="A89" s="54">
        <v>3531</v>
      </c>
      <c r="B89" s="64"/>
      <c r="C89" s="49" t="s">
        <v>101</v>
      </c>
      <c r="D89" s="61">
        <f t="shared" si="2"/>
        <v>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33"/>
    </row>
    <row r="90" spans="1:17" s="21" customFormat="1" ht="36" x14ac:dyDescent="0.2">
      <c r="A90" s="54">
        <v>3541</v>
      </c>
      <c r="B90" s="64"/>
      <c r="C90" s="49" t="s">
        <v>102</v>
      </c>
      <c r="D90" s="61">
        <f t="shared" si="2"/>
        <v>6000</v>
      </c>
      <c r="E90" s="28">
        <v>1000</v>
      </c>
      <c r="F90" s="28"/>
      <c r="G90" s="28">
        <v>1000</v>
      </c>
      <c r="H90" s="29"/>
      <c r="I90" s="28">
        <v>1000</v>
      </c>
      <c r="J90" s="29"/>
      <c r="K90" s="28">
        <v>1000</v>
      </c>
      <c r="L90" s="29"/>
      <c r="M90" s="28">
        <v>1000</v>
      </c>
      <c r="N90" s="29"/>
      <c r="O90" s="28">
        <v>1000</v>
      </c>
      <c r="P90" s="29"/>
      <c r="Q90" s="30"/>
    </row>
    <row r="91" spans="1:17" s="21" customFormat="1" ht="24" x14ac:dyDescent="0.2">
      <c r="A91" s="54">
        <v>3551</v>
      </c>
      <c r="B91" s="64"/>
      <c r="C91" s="49" t="s">
        <v>103</v>
      </c>
      <c r="D91" s="61">
        <f t="shared" si="2"/>
        <v>91000</v>
      </c>
      <c r="E91" s="28">
        <v>10000</v>
      </c>
      <c r="F91" s="29"/>
      <c r="G91" s="29"/>
      <c r="H91" s="28">
        <v>15000</v>
      </c>
      <c r="I91" s="29"/>
      <c r="J91" s="28">
        <v>15000</v>
      </c>
      <c r="K91" s="29"/>
      <c r="L91" s="28">
        <v>1000</v>
      </c>
      <c r="M91" s="29"/>
      <c r="N91" s="28">
        <v>15000</v>
      </c>
      <c r="O91" s="29">
        <v>20000</v>
      </c>
      <c r="P91" s="28">
        <v>15000</v>
      </c>
      <c r="Q91" s="30"/>
    </row>
    <row r="92" spans="1:17" s="21" customFormat="1" ht="24" x14ac:dyDescent="0.2">
      <c r="A92" s="54">
        <v>3571</v>
      </c>
      <c r="B92" s="64"/>
      <c r="C92" s="49" t="s">
        <v>104</v>
      </c>
      <c r="D92" s="61">
        <f t="shared" si="2"/>
        <v>6000</v>
      </c>
      <c r="E92" s="28"/>
      <c r="F92" s="29">
        <v>3000</v>
      </c>
      <c r="G92" s="29"/>
      <c r="H92" s="29"/>
      <c r="I92" s="29"/>
      <c r="J92" s="29"/>
      <c r="K92" s="29">
        <v>3000</v>
      </c>
      <c r="L92" s="29"/>
      <c r="M92" s="29"/>
      <c r="N92" s="29"/>
      <c r="O92" s="29"/>
      <c r="P92" s="29"/>
      <c r="Q92" s="30"/>
    </row>
    <row r="93" spans="1:17" s="21" customFormat="1" ht="24" x14ac:dyDescent="0.2">
      <c r="A93" s="54">
        <v>3572</v>
      </c>
      <c r="B93" s="64"/>
      <c r="C93" s="49" t="s">
        <v>105</v>
      </c>
      <c r="D93" s="61">
        <f t="shared" ref="D93:D104" si="3">SUM(E93:P93)</f>
        <v>6000</v>
      </c>
      <c r="E93" s="28"/>
      <c r="F93" s="29"/>
      <c r="G93" s="29"/>
      <c r="H93" s="29"/>
      <c r="I93" s="29">
        <v>3000</v>
      </c>
      <c r="J93" s="29"/>
      <c r="K93" s="29"/>
      <c r="L93" s="29"/>
      <c r="M93" s="29"/>
      <c r="N93" s="29"/>
      <c r="O93" s="29">
        <v>3000</v>
      </c>
      <c r="P93" s="29"/>
      <c r="Q93" s="30"/>
    </row>
    <row r="94" spans="1:17" s="21" customFormat="1" ht="14.25" x14ac:dyDescent="0.2">
      <c r="A94" s="54">
        <v>3581</v>
      </c>
      <c r="B94" s="64"/>
      <c r="C94" s="49" t="s">
        <v>106</v>
      </c>
      <c r="D94" s="61">
        <f t="shared" si="3"/>
        <v>30000</v>
      </c>
      <c r="E94" s="28"/>
      <c r="F94" s="29"/>
      <c r="G94" s="29"/>
      <c r="H94" s="29"/>
      <c r="I94" s="28">
        <v>15000</v>
      </c>
      <c r="J94" s="29"/>
      <c r="K94" s="29"/>
      <c r="L94" s="29"/>
      <c r="M94" s="28"/>
      <c r="N94" s="29"/>
      <c r="O94" s="29">
        <v>15000</v>
      </c>
      <c r="P94" s="29"/>
      <c r="Q94" s="30"/>
    </row>
    <row r="95" spans="1:17" s="21" customFormat="1" ht="14.25" x14ac:dyDescent="0.2">
      <c r="A95" s="54">
        <v>3591</v>
      </c>
      <c r="B95" s="64"/>
      <c r="C95" s="49" t="s">
        <v>107</v>
      </c>
      <c r="D95" s="61">
        <f t="shared" si="3"/>
        <v>6000</v>
      </c>
      <c r="E95" s="28">
        <v>2000</v>
      </c>
      <c r="F95" s="29"/>
      <c r="G95" s="29"/>
      <c r="H95" s="29"/>
      <c r="I95" s="29"/>
      <c r="J95" s="29">
        <v>2000</v>
      </c>
      <c r="K95" s="29"/>
      <c r="L95" s="29"/>
      <c r="M95" s="29"/>
      <c r="N95" s="29">
        <v>2000</v>
      </c>
      <c r="O95" s="29"/>
      <c r="P95" s="29"/>
      <c r="Q95" s="30"/>
    </row>
    <row r="96" spans="1:17" s="21" customFormat="1" ht="36" x14ac:dyDescent="0.2">
      <c r="A96" s="54">
        <v>3621</v>
      </c>
      <c r="B96" s="64"/>
      <c r="C96" s="49" t="s">
        <v>108</v>
      </c>
      <c r="D96" s="61">
        <f t="shared" si="3"/>
        <v>355000</v>
      </c>
      <c r="E96" s="28">
        <v>150000</v>
      </c>
      <c r="F96" s="28">
        <v>190000</v>
      </c>
      <c r="G96" s="28"/>
      <c r="H96" s="29"/>
      <c r="I96" s="29"/>
      <c r="J96" s="29"/>
      <c r="K96" s="29"/>
      <c r="L96" s="29"/>
      <c r="M96" s="29"/>
      <c r="N96" s="29"/>
      <c r="O96" s="29"/>
      <c r="P96" s="29">
        <v>15000</v>
      </c>
      <c r="Q96" s="30"/>
    </row>
    <row r="97" spans="1:18" s="21" customFormat="1" ht="14.25" x14ac:dyDescent="0.2">
      <c r="A97" s="54">
        <v>3711</v>
      </c>
      <c r="B97" s="64"/>
      <c r="C97" s="49" t="s">
        <v>109</v>
      </c>
      <c r="D97" s="61">
        <f t="shared" si="3"/>
        <v>35000</v>
      </c>
      <c r="E97" s="28">
        <v>5000</v>
      </c>
      <c r="F97" s="29"/>
      <c r="G97" s="29">
        <v>5000</v>
      </c>
      <c r="H97" s="28"/>
      <c r="I97" s="29">
        <v>5000</v>
      </c>
      <c r="J97" s="29"/>
      <c r="K97" s="28">
        <v>5000</v>
      </c>
      <c r="L97" s="28">
        <v>5000</v>
      </c>
      <c r="M97" s="29">
        <v>5000</v>
      </c>
      <c r="N97" s="28"/>
      <c r="O97" s="29">
        <v>5000</v>
      </c>
      <c r="P97" s="29"/>
      <c r="Q97" s="30"/>
    </row>
    <row r="98" spans="1:18" s="34" customFormat="1" ht="14.25" x14ac:dyDescent="0.2">
      <c r="A98" s="54">
        <v>3721</v>
      </c>
      <c r="B98" s="64"/>
      <c r="C98" s="49" t="s">
        <v>110</v>
      </c>
      <c r="D98" s="61">
        <f t="shared" si="3"/>
        <v>27000</v>
      </c>
      <c r="E98" s="28"/>
      <c r="F98" s="28"/>
      <c r="G98" s="28">
        <v>3000</v>
      </c>
      <c r="H98" s="28">
        <v>3000</v>
      </c>
      <c r="I98" s="28"/>
      <c r="J98" s="28"/>
      <c r="K98" s="28">
        <v>3000</v>
      </c>
      <c r="L98" s="28"/>
      <c r="M98" s="28">
        <v>3000</v>
      </c>
      <c r="N98" s="28">
        <v>3000</v>
      </c>
      <c r="O98" s="28">
        <v>6000</v>
      </c>
      <c r="P98" s="28">
        <v>6000</v>
      </c>
      <c r="Q98" s="33"/>
    </row>
    <row r="99" spans="1:18" s="34" customFormat="1" ht="14.25" x14ac:dyDescent="0.2">
      <c r="A99" s="54">
        <v>3751</v>
      </c>
      <c r="B99" s="64"/>
      <c r="C99" s="49" t="s">
        <v>111</v>
      </c>
      <c r="D99" s="61">
        <f t="shared" si="3"/>
        <v>140000</v>
      </c>
      <c r="E99" s="28">
        <v>5000</v>
      </c>
      <c r="F99" s="28">
        <v>5000</v>
      </c>
      <c r="G99" s="28">
        <v>10000</v>
      </c>
      <c r="H99" s="28">
        <v>10000</v>
      </c>
      <c r="I99" s="28">
        <v>10000</v>
      </c>
      <c r="J99" s="28">
        <v>10000</v>
      </c>
      <c r="K99" s="28">
        <v>10000</v>
      </c>
      <c r="L99" s="28">
        <v>5000</v>
      </c>
      <c r="M99" s="28">
        <v>10000</v>
      </c>
      <c r="N99" s="28">
        <v>10000</v>
      </c>
      <c r="O99" s="28">
        <f>5000+ 12000</f>
        <v>17000</v>
      </c>
      <c r="P99" s="28">
        <f>10000+28000</f>
        <v>38000</v>
      </c>
      <c r="Q99" s="33"/>
    </row>
    <row r="100" spans="1:18" s="34" customFormat="1" ht="14.25" x14ac:dyDescent="0.2">
      <c r="A100" s="54">
        <v>3791</v>
      </c>
      <c r="B100" s="64"/>
      <c r="C100" s="49" t="s">
        <v>112</v>
      </c>
      <c r="D100" s="61">
        <f t="shared" si="3"/>
        <v>100000</v>
      </c>
      <c r="E100" s="28"/>
      <c r="F100" s="28"/>
      <c r="G100" s="28"/>
      <c r="H100" s="28"/>
      <c r="I100" s="28"/>
      <c r="J100" s="28"/>
      <c r="K100" s="28"/>
      <c r="L100" s="28"/>
      <c r="M100" s="28">
        <v>50000</v>
      </c>
      <c r="N100" s="28"/>
      <c r="O100" s="28">
        <v>50000</v>
      </c>
      <c r="P100" s="28"/>
      <c r="Q100" s="33"/>
    </row>
    <row r="101" spans="1:18" s="34" customFormat="1" ht="14.25" x14ac:dyDescent="0.2">
      <c r="A101" s="54">
        <v>3821</v>
      </c>
      <c r="B101" s="64"/>
      <c r="C101" s="49" t="s">
        <v>113</v>
      </c>
      <c r="D101" s="61">
        <f t="shared" si="3"/>
        <v>70000</v>
      </c>
      <c r="E101" s="28"/>
      <c r="F101" s="28"/>
      <c r="G101" s="28">
        <v>10000</v>
      </c>
      <c r="H101" s="28"/>
      <c r="I101" s="28">
        <v>10000</v>
      </c>
      <c r="J101" s="28"/>
      <c r="K101" s="28"/>
      <c r="L101" s="28"/>
      <c r="M101" s="28"/>
      <c r="N101" s="28"/>
      <c r="O101" s="28">
        <v>30000</v>
      </c>
      <c r="P101" s="28">
        <v>20000</v>
      </c>
      <c r="Q101" s="33"/>
    </row>
    <row r="102" spans="1:18" s="34" customFormat="1" ht="14.25" x14ac:dyDescent="0.2">
      <c r="A102" s="54">
        <v>3822</v>
      </c>
      <c r="B102" s="64"/>
      <c r="C102" s="49" t="s">
        <v>114</v>
      </c>
      <c r="D102" s="61">
        <f t="shared" si="3"/>
        <v>41000</v>
      </c>
      <c r="E102" s="28"/>
      <c r="F102" s="28"/>
      <c r="G102" s="28"/>
      <c r="H102" s="28"/>
      <c r="I102" s="28"/>
      <c r="J102" s="28"/>
      <c r="K102" s="28"/>
      <c r="L102" s="28"/>
      <c r="M102" s="28">
        <v>30000</v>
      </c>
      <c r="N102" s="28"/>
      <c r="O102" s="28"/>
      <c r="P102" s="28">
        <v>11000</v>
      </c>
      <c r="Q102" s="33"/>
    </row>
    <row r="103" spans="1:18" s="34" customFormat="1" ht="14.25" x14ac:dyDescent="0.2">
      <c r="A103" s="54">
        <v>3792</v>
      </c>
      <c r="B103" s="64"/>
      <c r="C103" s="49" t="s">
        <v>115</v>
      </c>
      <c r="D103" s="61">
        <f t="shared" si="3"/>
        <v>40000</v>
      </c>
      <c r="E103" s="28"/>
      <c r="F103" s="28">
        <v>4000</v>
      </c>
      <c r="G103" s="28">
        <v>4000</v>
      </c>
      <c r="H103" s="28">
        <v>4000</v>
      </c>
      <c r="I103" s="28">
        <v>4000</v>
      </c>
      <c r="J103" s="28">
        <v>4000</v>
      </c>
      <c r="K103" s="28">
        <v>4000</v>
      </c>
      <c r="L103" s="28">
        <v>4000</v>
      </c>
      <c r="M103" s="28">
        <v>4000</v>
      </c>
      <c r="N103" s="28">
        <v>4000</v>
      </c>
      <c r="O103" s="28">
        <v>4000</v>
      </c>
      <c r="P103" s="28"/>
      <c r="Q103" s="33"/>
    </row>
    <row r="104" spans="1:18" s="34" customFormat="1" ht="14.25" x14ac:dyDescent="0.2">
      <c r="A104" s="54">
        <v>3921</v>
      </c>
      <c r="B104" s="64"/>
      <c r="C104" s="49" t="s">
        <v>116</v>
      </c>
      <c r="D104" s="61">
        <f t="shared" si="3"/>
        <v>4500</v>
      </c>
      <c r="E104" s="48">
        <v>4500</v>
      </c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33"/>
    </row>
    <row r="105" spans="1:18" s="11" customFormat="1" ht="25.5" x14ac:dyDescent="0.2">
      <c r="A105" s="22"/>
      <c r="B105" s="22"/>
      <c r="C105" s="62" t="s">
        <v>18</v>
      </c>
      <c r="D105" s="65">
        <f t="shared" ref="D105:P105" si="4">SUM(D68:D104)</f>
        <v>957500</v>
      </c>
      <c r="E105" s="24">
        <f t="shared" si="4"/>
        <v>177500</v>
      </c>
      <c r="F105" s="24">
        <f t="shared" si="4"/>
        <v>202000</v>
      </c>
      <c r="G105" s="24">
        <f t="shared" si="4"/>
        <v>33000</v>
      </c>
      <c r="H105" s="24">
        <f t="shared" si="4"/>
        <v>32000</v>
      </c>
      <c r="I105" s="24">
        <f t="shared" si="4"/>
        <v>48000</v>
      </c>
      <c r="J105" s="24">
        <f t="shared" si="4"/>
        <v>31000</v>
      </c>
      <c r="K105" s="24">
        <f t="shared" si="4"/>
        <v>26000</v>
      </c>
      <c r="L105" s="24">
        <f t="shared" si="4"/>
        <v>15000</v>
      </c>
      <c r="M105" s="24">
        <f t="shared" si="4"/>
        <v>103000</v>
      </c>
      <c r="N105" s="24">
        <f t="shared" si="4"/>
        <v>34000</v>
      </c>
      <c r="O105" s="24">
        <f t="shared" si="4"/>
        <v>151000</v>
      </c>
      <c r="P105" s="24">
        <f t="shared" si="4"/>
        <v>105000</v>
      </c>
      <c r="Q105" s="30"/>
      <c r="R105" s="26"/>
    </row>
    <row r="106" spans="1:18" x14ac:dyDescent="0.2">
      <c r="A106" s="35"/>
      <c r="B106" s="35"/>
      <c r="C106" s="60"/>
      <c r="D106" s="36">
        <f t="shared" ref="D106:D119" si="5">SUM(E106:P106)</f>
        <v>0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125"/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6">SUM(D106:D106)</f>
        <v>0</v>
      </c>
      <c r="E107" s="39">
        <f t="shared" si="6"/>
        <v>0</v>
      </c>
      <c r="F107" s="39">
        <f t="shared" si="6"/>
        <v>0</v>
      </c>
      <c r="G107" s="39">
        <f t="shared" si="6"/>
        <v>0</v>
      </c>
      <c r="H107" s="39">
        <f t="shared" si="6"/>
        <v>0</v>
      </c>
      <c r="I107" s="39">
        <f t="shared" si="6"/>
        <v>0</v>
      </c>
      <c r="J107" s="39">
        <f t="shared" si="6"/>
        <v>0</v>
      </c>
      <c r="K107" s="39">
        <f t="shared" si="6"/>
        <v>0</v>
      </c>
      <c r="L107" s="39">
        <f t="shared" si="6"/>
        <v>0</v>
      </c>
      <c r="M107" s="39">
        <f t="shared" si="6"/>
        <v>0</v>
      </c>
      <c r="N107" s="39">
        <f t="shared" si="6"/>
        <v>0</v>
      </c>
      <c r="O107" s="39">
        <f t="shared" si="6"/>
        <v>0</v>
      </c>
      <c r="P107" s="126">
        <f t="shared" si="6"/>
        <v>0</v>
      </c>
      <c r="Q107" s="25"/>
    </row>
    <row r="108" spans="1:18" s="73" customFormat="1" ht="25.5" x14ac:dyDescent="0.2">
      <c r="A108" s="35">
        <v>5151</v>
      </c>
      <c r="B108" s="35"/>
      <c r="C108" s="40" t="s">
        <v>144</v>
      </c>
      <c r="D108" s="69">
        <f t="shared" si="5"/>
        <v>0</v>
      </c>
      <c r="E108" s="70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2"/>
    </row>
    <row r="109" spans="1:18" s="73" customFormat="1" x14ac:dyDescent="0.2">
      <c r="A109" s="127">
        <v>5611</v>
      </c>
      <c r="B109" s="127"/>
      <c r="C109" s="155" t="s">
        <v>146</v>
      </c>
      <c r="D109" s="69">
        <f t="shared" si="5"/>
        <v>93610.76</v>
      </c>
      <c r="E109" s="70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429">
        <v>93610.76</v>
      </c>
      <c r="Q109" s="72"/>
    </row>
    <row r="110" spans="1:18" s="73" customFormat="1" x14ac:dyDescent="0.2">
      <c r="A110" s="35">
        <v>5621</v>
      </c>
      <c r="B110" s="35"/>
      <c r="C110" s="60" t="s">
        <v>149</v>
      </c>
      <c r="D110" s="69">
        <f t="shared" si="5"/>
        <v>0</v>
      </c>
      <c r="E110" s="70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2"/>
    </row>
    <row r="111" spans="1:18" s="73" customFormat="1" x14ac:dyDescent="0.2">
      <c r="A111" s="35">
        <v>5911</v>
      </c>
      <c r="B111" s="35"/>
      <c r="C111" s="60" t="s">
        <v>145</v>
      </c>
      <c r="D111" s="69">
        <f t="shared" si="5"/>
        <v>0</v>
      </c>
      <c r="E111" s="70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2"/>
    </row>
    <row r="112" spans="1:18" s="11" customFormat="1" ht="25.5" x14ac:dyDescent="0.2">
      <c r="A112" s="22"/>
      <c r="B112" s="22"/>
      <c r="C112" s="62" t="s">
        <v>118</v>
      </c>
      <c r="D112" s="23">
        <f>SUM(D108:D111)</f>
        <v>93610.76</v>
      </c>
      <c r="E112" s="41">
        <f t="shared" ref="E112:P112" si="7">SUM(E108:E108)</f>
        <v>0</v>
      </c>
      <c r="F112" s="39">
        <f t="shared" si="7"/>
        <v>0</v>
      </c>
      <c r="G112" s="39">
        <f t="shared" si="7"/>
        <v>0</v>
      </c>
      <c r="H112" s="39">
        <f t="shared" si="7"/>
        <v>0</v>
      </c>
      <c r="I112" s="39">
        <f t="shared" si="7"/>
        <v>0</v>
      </c>
      <c r="J112" s="39">
        <f t="shared" si="7"/>
        <v>0</v>
      </c>
      <c r="K112" s="39">
        <f t="shared" si="7"/>
        <v>0</v>
      </c>
      <c r="L112" s="39">
        <f t="shared" si="7"/>
        <v>0</v>
      </c>
      <c r="M112" s="39">
        <f t="shared" si="7"/>
        <v>0</v>
      </c>
      <c r="N112" s="39">
        <f t="shared" si="7"/>
        <v>0</v>
      </c>
      <c r="O112" s="39">
        <f t="shared" si="7"/>
        <v>0</v>
      </c>
      <c r="P112" s="39">
        <f t="shared" si="7"/>
        <v>0</v>
      </c>
      <c r="Q112" s="25"/>
    </row>
    <row r="113" spans="1:18" x14ac:dyDescent="0.2">
      <c r="A113" s="35"/>
      <c r="B113" s="35"/>
      <c r="C113" s="40"/>
      <c r="D113" s="36">
        <f t="shared" si="5"/>
        <v>0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8"/>
    </row>
    <row r="114" spans="1:18" x14ac:dyDescent="0.2">
      <c r="A114" s="127"/>
      <c r="B114" s="127"/>
      <c r="C114" s="155"/>
      <c r="D114" s="36">
        <f t="shared" si="5"/>
        <v>0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429"/>
      <c r="Q114" s="38"/>
    </row>
    <row r="115" spans="1:18" x14ac:dyDescent="0.2">
      <c r="A115" s="35"/>
      <c r="B115" s="35"/>
      <c r="C115" s="60"/>
      <c r="D115" s="36">
        <f t="shared" si="5"/>
        <v>0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8"/>
    </row>
    <row r="116" spans="1:18" x14ac:dyDescent="0.2">
      <c r="A116" s="35"/>
      <c r="B116" s="35"/>
      <c r="C116" s="60"/>
      <c r="D116" s="36">
        <f t="shared" si="5"/>
        <v>0</v>
      </c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8"/>
    </row>
    <row r="117" spans="1:18" s="11" customFormat="1" ht="25.5" x14ac:dyDescent="0.2">
      <c r="A117" s="22"/>
      <c r="B117" s="22"/>
      <c r="C117" s="62" t="s">
        <v>119</v>
      </c>
      <c r="D117" s="23">
        <f>SUM(D113:D116)</f>
        <v>0</v>
      </c>
      <c r="E117" s="39">
        <f t="shared" ref="E117:P117" si="8">SUM(E115:E116)</f>
        <v>0</v>
      </c>
      <c r="F117" s="39">
        <f t="shared" si="8"/>
        <v>0</v>
      </c>
      <c r="G117" s="39">
        <f t="shared" si="8"/>
        <v>0</v>
      </c>
      <c r="H117" s="39">
        <f t="shared" si="8"/>
        <v>0</v>
      </c>
      <c r="I117" s="39">
        <f t="shared" si="8"/>
        <v>0</v>
      </c>
      <c r="J117" s="39">
        <f t="shared" si="8"/>
        <v>0</v>
      </c>
      <c r="K117" s="39">
        <f t="shared" si="8"/>
        <v>0</v>
      </c>
      <c r="L117" s="39">
        <f t="shared" si="8"/>
        <v>0</v>
      </c>
      <c r="M117" s="39">
        <f t="shared" si="8"/>
        <v>0</v>
      </c>
      <c r="N117" s="39">
        <f t="shared" si="8"/>
        <v>0</v>
      </c>
      <c r="O117" s="39">
        <f t="shared" si="8"/>
        <v>0</v>
      </c>
      <c r="P117" s="39">
        <f t="shared" si="8"/>
        <v>0</v>
      </c>
      <c r="Q117" s="25"/>
      <c r="R117" s="26"/>
    </row>
    <row r="118" spans="1:18" x14ac:dyDescent="0.2">
      <c r="A118" s="35"/>
      <c r="B118" s="35"/>
      <c r="C118" s="60"/>
      <c r="D118" s="36">
        <f t="shared" si="5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35"/>
      <c r="C119" s="60"/>
      <c r="D119" s="36">
        <f t="shared" si="5"/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2"/>
      <c r="C120" s="62" t="s">
        <v>120</v>
      </c>
      <c r="D120" s="23">
        <f t="shared" ref="D120:P120" si="9">SUM(D118:D119)</f>
        <v>0</v>
      </c>
      <c r="E120" s="39">
        <f t="shared" si="9"/>
        <v>0</v>
      </c>
      <c r="F120" s="39">
        <f t="shared" si="9"/>
        <v>0</v>
      </c>
      <c r="G120" s="39">
        <f t="shared" si="9"/>
        <v>0</v>
      </c>
      <c r="H120" s="39">
        <f t="shared" si="9"/>
        <v>0</v>
      </c>
      <c r="I120" s="39">
        <f t="shared" si="9"/>
        <v>0</v>
      </c>
      <c r="J120" s="39">
        <f t="shared" si="9"/>
        <v>0</v>
      </c>
      <c r="K120" s="39">
        <f t="shared" si="9"/>
        <v>0</v>
      </c>
      <c r="L120" s="39">
        <f t="shared" si="9"/>
        <v>0</v>
      </c>
      <c r="M120" s="39">
        <f t="shared" si="9"/>
        <v>0</v>
      </c>
      <c r="N120" s="39">
        <f t="shared" si="9"/>
        <v>0</v>
      </c>
      <c r="O120" s="39">
        <f t="shared" si="9"/>
        <v>0</v>
      </c>
      <c r="P120" s="39">
        <f t="shared" si="9"/>
        <v>0</v>
      </c>
      <c r="Q120" s="25"/>
    </row>
    <row r="121" spans="1:18" s="11" customFormat="1" ht="17.25" customHeight="1" x14ac:dyDescent="0.2">
      <c r="A121" s="189"/>
      <c r="B121" s="189"/>
      <c r="C121" s="189" t="s">
        <v>19</v>
      </c>
      <c r="D121" s="190">
        <f t="shared" ref="D121:P121" si="10">SUM(D120,D117,D112,D107,D105,D67,D28)</f>
        <v>1168110.76</v>
      </c>
      <c r="E121" s="191">
        <f t="shared" si="10"/>
        <v>177500</v>
      </c>
      <c r="F121" s="191">
        <f t="shared" si="10"/>
        <v>202000</v>
      </c>
      <c r="G121" s="191">
        <f t="shared" si="10"/>
        <v>33000</v>
      </c>
      <c r="H121" s="191">
        <f t="shared" si="10"/>
        <v>32000</v>
      </c>
      <c r="I121" s="191">
        <f t="shared" si="10"/>
        <v>48000</v>
      </c>
      <c r="J121" s="191">
        <f t="shared" si="10"/>
        <v>31000</v>
      </c>
      <c r="K121" s="191">
        <f t="shared" si="10"/>
        <v>26000</v>
      </c>
      <c r="L121" s="191">
        <f t="shared" si="10"/>
        <v>15000</v>
      </c>
      <c r="M121" s="191">
        <f t="shared" si="10"/>
        <v>103000</v>
      </c>
      <c r="N121" s="191">
        <f t="shared" si="10"/>
        <v>34000</v>
      </c>
      <c r="O121" s="191">
        <f t="shared" si="10"/>
        <v>151000</v>
      </c>
      <c r="P121" s="191">
        <f t="shared" si="10"/>
        <v>154000</v>
      </c>
      <c r="Q121" s="192"/>
      <c r="R121" s="26"/>
    </row>
    <row r="124" spans="1:18" ht="48.75" customHeight="1" x14ac:dyDescent="0.2">
      <c r="C124" s="118" t="s">
        <v>129</v>
      </c>
      <c r="G124" s="1" t="s">
        <v>131</v>
      </c>
      <c r="L124" s="1" t="s">
        <v>133</v>
      </c>
    </row>
    <row r="125" spans="1:18" x14ac:dyDescent="0.2">
      <c r="C125" s="118" t="s">
        <v>130</v>
      </c>
      <c r="G125" s="1" t="s">
        <v>132</v>
      </c>
      <c r="L125" s="1" t="s">
        <v>134</v>
      </c>
    </row>
    <row r="131" spans="6:13" x14ac:dyDescent="0.2">
      <c r="G131" s="42"/>
    </row>
    <row r="132" spans="6:13" x14ac:dyDescent="0.2">
      <c r="G132" s="42"/>
    </row>
    <row r="134" spans="6:13" x14ac:dyDescent="0.2">
      <c r="G134" s="44"/>
    </row>
    <row r="135" spans="6:13" x14ac:dyDescent="0.2">
      <c r="G135" s="44"/>
      <c r="H135" s="44"/>
      <c r="I135" s="44"/>
    </row>
    <row r="139" spans="6:13" x14ac:dyDescent="0.2">
      <c r="F139" s="44"/>
    </row>
    <row r="141" spans="6:13" x14ac:dyDescent="0.2">
      <c r="I141" s="42"/>
      <c r="J141" s="45"/>
      <c r="K141" s="44"/>
      <c r="L141" s="44"/>
      <c r="M141" s="44"/>
    </row>
    <row r="142" spans="6:13" x14ac:dyDescent="0.2">
      <c r="I142" s="42"/>
      <c r="J142" s="45"/>
      <c r="K142" s="44"/>
      <c r="L142" s="44"/>
      <c r="M142" s="44"/>
    </row>
    <row r="143" spans="6:13" x14ac:dyDescent="0.2">
      <c r="I143" s="42"/>
      <c r="J143" s="45"/>
      <c r="K143" s="44"/>
      <c r="L143" s="44"/>
      <c r="M143" s="44"/>
    </row>
    <row r="144" spans="6:13" x14ac:dyDescent="0.2">
      <c r="I144" s="42"/>
      <c r="J144" s="45"/>
      <c r="K144" s="44"/>
      <c r="L144" s="44"/>
      <c r="M144" s="44"/>
    </row>
    <row r="145" spans="9:13" x14ac:dyDescent="0.2">
      <c r="I145" s="42"/>
      <c r="J145" s="45"/>
      <c r="K145" s="44"/>
      <c r="L145" s="44"/>
      <c r="M145" s="44"/>
    </row>
    <row r="146" spans="9:13" x14ac:dyDescent="0.2">
      <c r="I146" s="42"/>
      <c r="J146" s="45"/>
      <c r="K146" s="44"/>
      <c r="L146" s="44"/>
      <c r="M146" s="44"/>
    </row>
    <row r="147" spans="9:13" x14ac:dyDescent="0.2">
      <c r="I147" s="42"/>
      <c r="J147" s="45"/>
      <c r="K147" s="44"/>
      <c r="L147" s="44"/>
      <c r="M147" s="44"/>
    </row>
    <row r="148" spans="9:13" x14ac:dyDescent="0.2">
      <c r="I148" s="42"/>
      <c r="J148" s="45"/>
      <c r="K148" s="44"/>
      <c r="L148" s="44"/>
      <c r="M148" s="44"/>
    </row>
    <row r="149" spans="9:13" x14ac:dyDescent="0.2">
      <c r="I149" s="42"/>
      <c r="J149" s="45"/>
      <c r="K149" s="44"/>
      <c r="L149" s="44"/>
      <c r="M149" s="44"/>
    </row>
    <row r="150" spans="9:13" x14ac:dyDescent="0.2">
      <c r="I150" s="42"/>
      <c r="J150" s="45"/>
      <c r="K150" s="44"/>
      <c r="L150" s="44"/>
      <c r="M150" s="44"/>
    </row>
    <row r="151" spans="9:13" x14ac:dyDescent="0.2">
      <c r="I151" s="42"/>
      <c r="J151" s="45"/>
      <c r="K151" s="44"/>
      <c r="L151" s="44"/>
      <c r="M151" s="44"/>
    </row>
    <row r="152" spans="9:13" x14ac:dyDescent="0.2">
      <c r="I152" s="42"/>
      <c r="J152" s="45"/>
      <c r="K152" s="44"/>
      <c r="L152" s="44"/>
      <c r="M152" s="44"/>
    </row>
    <row r="153" spans="9:13" x14ac:dyDescent="0.2">
      <c r="I153" s="42"/>
      <c r="J153" s="45"/>
      <c r="K153" s="44"/>
      <c r="L153" s="44"/>
      <c r="M153" s="44"/>
    </row>
    <row r="154" spans="9:13" x14ac:dyDescent="0.2">
      <c r="I154" s="42"/>
      <c r="J154" s="45"/>
      <c r="K154" s="44"/>
      <c r="L154" s="44"/>
      <c r="M154" s="44"/>
    </row>
    <row r="157" spans="9:13" x14ac:dyDescent="0.2">
      <c r="I157" s="44"/>
      <c r="J157" s="45"/>
      <c r="K157" s="44"/>
      <c r="L157" s="44"/>
    </row>
  </sheetData>
  <mergeCells count="12"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/>
  <pageMargins left="0.44" right="0.39370078740157483" top="0.31496062992125984" bottom="0.39370078740157483" header="0" footer="0"/>
  <pageSetup paperSize="5" scale="48" orientation="landscape" horizontalDpi="200" verticalDpi="200" r:id="rId1"/>
  <headerFooter alignWithMargins="0">
    <oddFooter>Página &amp;P de &amp;N</oddFooter>
  </headerFooter>
  <rowBreaks count="1" manualBreakCount="1">
    <brk id="64" max="16" man="1"/>
  </rowBreaks>
  <colBreaks count="1" manualBreakCount="1">
    <brk id="17" max="1048575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zoomScale="60" zoomScaleNormal="110" workbookViewId="0">
      <selection activeCell="Q32" sqref="Q32"/>
    </sheetView>
  </sheetViews>
  <sheetFormatPr baseColWidth="10" defaultRowHeight="12.75" x14ac:dyDescent="0.2"/>
  <cols>
    <col min="1" max="1" width="6.140625" style="1" bestFit="1" customWidth="1"/>
    <col min="2" max="2" width="4.85546875" style="195" customWidth="1"/>
    <col min="3" max="3" width="37.7109375" style="57" customWidth="1"/>
    <col min="4" max="4" width="21.28515625" style="3" bestFit="1" customWidth="1"/>
    <col min="5" max="5" width="16.5703125" style="2" bestFit="1" customWidth="1"/>
    <col min="6" max="6" width="14.140625" style="2" customWidth="1"/>
    <col min="7" max="7" width="16.42578125" style="2" customWidth="1"/>
    <col min="8" max="8" width="18.57031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42" style="43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I1" s="186"/>
      <c r="M1" s="4"/>
      <c r="N1" s="4"/>
      <c r="O1" s="5"/>
      <c r="P1" s="5"/>
      <c r="Q1" s="6" t="s">
        <v>205</v>
      </c>
      <c r="V1" s="7"/>
      <c r="W1" s="7"/>
    </row>
    <row r="2" spans="1:23" ht="27" customHeight="1" x14ac:dyDescent="0.2">
      <c r="A2" s="8"/>
      <c r="B2" s="196"/>
      <c r="C2" s="58"/>
      <c r="E2" s="8"/>
      <c r="F2" s="8"/>
      <c r="G2" s="8"/>
      <c r="H2" s="8"/>
      <c r="I2" s="186"/>
      <c r="J2" s="8"/>
      <c r="K2" s="8"/>
      <c r="M2" s="9"/>
      <c r="N2" s="5"/>
      <c r="O2" s="5"/>
      <c r="P2" s="5"/>
      <c r="Q2" s="6" t="s">
        <v>148</v>
      </c>
      <c r="V2" s="7"/>
      <c r="W2" s="7"/>
    </row>
    <row r="3" spans="1:23" ht="11.25" customHeight="1" x14ac:dyDescent="0.2">
      <c r="A3" s="2"/>
      <c r="B3" s="197"/>
      <c r="I3" s="186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98"/>
      <c r="C4" s="59"/>
      <c r="D4" s="12"/>
      <c r="E4" s="11"/>
      <c r="F4" s="11"/>
      <c r="G4" s="11"/>
      <c r="H4" s="11"/>
      <c r="I4" s="186"/>
      <c r="J4" s="11"/>
      <c r="K4" s="11"/>
      <c r="M4" s="485" t="s">
        <v>198</v>
      </c>
      <c r="N4" s="485"/>
      <c r="O4" s="485"/>
      <c r="P4" s="485"/>
      <c r="Q4" s="485"/>
      <c r="V4" s="7"/>
      <c r="W4" s="7"/>
    </row>
    <row r="5" spans="1:23" ht="12.75" customHeight="1" x14ac:dyDescent="0.2">
      <c r="A5" s="11"/>
      <c r="B5" s="198"/>
      <c r="C5" s="59"/>
      <c r="D5" s="12"/>
      <c r="E5" s="11"/>
      <c r="F5" s="11"/>
      <c r="G5" s="11"/>
      <c r="H5" s="11"/>
      <c r="I5" s="186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98"/>
      <c r="C6" s="476" t="s">
        <v>255</v>
      </c>
      <c r="D6" s="477"/>
      <c r="E6" s="477"/>
      <c r="F6" s="477"/>
      <c r="G6" s="477"/>
      <c r="H6" s="477"/>
      <c r="I6" s="477"/>
      <c r="J6" s="477"/>
      <c r="K6" s="11"/>
      <c r="M6" s="485" t="s">
        <v>23</v>
      </c>
      <c r="N6" s="485"/>
      <c r="O6" s="485"/>
      <c r="P6" s="485"/>
      <c r="Q6" s="485"/>
      <c r="V6" s="7"/>
      <c r="W6" s="7"/>
    </row>
    <row r="7" spans="1:23" ht="12.75" customHeight="1" x14ac:dyDescent="0.2">
      <c r="A7" s="11"/>
      <c r="B7" s="198"/>
      <c r="C7" s="477"/>
      <c r="D7" s="477"/>
      <c r="E7" s="477"/>
      <c r="F7" s="477"/>
      <c r="G7" s="477"/>
      <c r="H7" s="477"/>
      <c r="I7" s="477"/>
      <c r="J7" s="477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98"/>
      <c r="C8" s="477"/>
      <c r="D8" s="477"/>
      <c r="E8" s="477"/>
      <c r="F8" s="477"/>
      <c r="G8" s="477"/>
      <c r="H8" s="477"/>
      <c r="I8" s="477"/>
      <c r="J8" s="477"/>
      <c r="K8" s="11"/>
      <c r="M8" s="485" t="s">
        <v>24</v>
      </c>
      <c r="N8" s="485"/>
      <c r="O8" s="485"/>
      <c r="P8" s="485"/>
      <c r="Q8" s="485"/>
      <c r="V8" s="7"/>
      <c r="W8" s="7"/>
    </row>
    <row r="9" spans="1:23" s="14" customFormat="1" ht="12.75" customHeight="1" x14ac:dyDescent="0.2">
      <c r="A9" s="11"/>
      <c r="B9" s="198"/>
      <c r="C9" s="59"/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99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492" t="s">
        <v>21</v>
      </c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493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x14ac:dyDescent="0.2">
      <c r="A13" s="53">
        <v>1131</v>
      </c>
      <c r="B13" s="200"/>
      <c r="C13" s="52" t="s">
        <v>28</v>
      </c>
      <c r="D13" s="61">
        <f>SUM(E13:P13)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86" t="s">
        <v>206</v>
      </c>
      <c r="R13" s="472"/>
    </row>
    <row r="14" spans="1:23" s="21" customFormat="1" x14ac:dyDescent="0.2">
      <c r="A14" s="53">
        <v>1211</v>
      </c>
      <c r="B14" s="200"/>
      <c r="C14" s="52" t="s">
        <v>29</v>
      </c>
      <c r="D14" s="61">
        <f t="shared" ref="D14:D27" si="0">SUM(E14:P14)</f>
        <v>530858.15</v>
      </c>
      <c r="E14" s="20"/>
      <c r="F14" s="20"/>
      <c r="G14" s="20"/>
      <c r="H14" s="185">
        <v>10000</v>
      </c>
      <c r="I14" s="20"/>
      <c r="J14" s="20"/>
      <c r="K14" s="209">
        <v>68951.16</v>
      </c>
      <c r="L14" s="209">
        <f>68951.15+107151.2</f>
        <v>176102.34999999998</v>
      </c>
      <c r="M14" s="209">
        <v>68951.16</v>
      </c>
      <c r="N14" s="209">
        <v>68951.16</v>
      </c>
      <c r="O14" s="209">
        <v>68951.16</v>
      </c>
      <c r="P14" s="209">
        <v>68951.16</v>
      </c>
      <c r="Q14" s="487"/>
      <c r="R14" s="472"/>
    </row>
    <row r="15" spans="1:23" s="21" customFormat="1" ht="24" x14ac:dyDescent="0.2">
      <c r="A15" s="53">
        <v>1311</v>
      </c>
      <c r="B15" s="200"/>
      <c r="C15" s="52" t="s">
        <v>30</v>
      </c>
      <c r="D15" s="61">
        <f t="shared" si="0"/>
        <v>0</v>
      </c>
      <c r="E15" s="20"/>
      <c r="F15" s="20"/>
      <c r="G15" s="20"/>
      <c r="H15" s="20"/>
      <c r="I15" s="20"/>
      <c r="J15" s="20"/>
      <c r="K15" s="209"/>
      <c r="L15" s="209"/>
      <c r="M15" s="209"/>
      <c r="N15" s="209"/>
      <c r="O15" s="209"/>
      <c r="P15" s="209"/>
      <c r="Q15" s="487"/>
      <c r="R15" s="472"/>
    </row>
    <row r="16" spans="1:23" s="21" customFormat="1" x14ac:dyDescent="0.2">
      <c r="A16" s="53">
        <v>1321</v>
      </c>
      <c r="B16" s="200"/>
      <c r="C16" s="52" t="s">
        <v>31</v>
      </c>
      <c r="D16" s="61">
        <f t="shared" si="0"/>
        <v>21131.46</v>
      </c>
      <c r="E16" s="20"/>
      <c r="F16" s="20"/>
      <c r="G16" s="20"/>
      <c r="H16" s="20"/>
      <c r="I16" s="20"/>
      <c r="J16" s="20"/>
      <c r="K16" s="209"/>
      <c r="L16" s="209"/>
      <c r="M16" s="209"/>
      <c r="N16" s="209"/>
      <c r="O16" s="209"/>
      <c r="P16" s="209">
        <v>21131.46</v>
      </c>
      <c r="Q16" s="487"/>
      <c r="R16" s="472"/>
    </row>
    <row r="17" spans="1:20" s="21" customFormat="1" x14ac:dyDescent="0.2">
      <c r="A17" s="53">
        <v>1322</v>
      </c>
      <c r="B17" s="200"/>
      <c r="C17" s="52" t="s">
        <v>32</v>
      </c>
      <c r="D17" s="61">
        <f t="shared" si="0"/>
        <v>118219.11</v>
      </c>
      <c r="E17" s="20"/>
      <c r="F17" s="20"/>
      <c r="G17" s="20"/>
      <c r="H17" s="20"/>
      <c r="I17" s="67"/>
      <c r="J17" s="20"/>
      <c r="K17" s="209"/>
      <c r="L17" s="209"/>
      <c r="M17" s="209"/>
      <c r="N17" s="209"/>
      <c r="O17" s="209"/>
      <c r="P17" s="209">
        <v>118219.11</v>
      </c>
      <c r="Q17" s="487"/>
      <c r="R17" s="472"/>
    </row>
    <row r="18" spans="1:20" s="21" customFormat="1" x14ac:dyDescent="0.2">
      <c r="A18" s="53">
        <v>1343</v>
      </c>
      <c r="B18" s="200"/>
      <c r="C18" s="52" t="s">
        <v>33</v>
      </c>
      <c r="D18" s="61">
        <f t="shared" si="0"/>
        <v>14310.34</v>
      </c>
      <c r="E18" s="20"/>
      <c r="F18" s="20"/>
      <c r="G18" s="20"/>
      <c r="H18" s="20"/>
      <c r="I18" s="67"/>
      <c r="J18" s="20"/>
      <c r="K18" s="209">
        <v>2385.06</v>
      </c>
      <c r="L18" s="209">
        <v>2385.06</v>
      </c>
      <c r="M18" s="209">
        <v>2385.06</v>
      </c>
      <c r="N18" s="209">
        <v>2385.06</v>
      </c>
      <c r="O18" s="209">
        <v>2385.06</v>
      </c>
      <c r="P18" s="209">
        <v>2385.04</v>
      </c>
      <c r="Q18" s="487"/>
      <c r="R18" s="472"/>
    </row>
    <row r="19" spans="1:20" s="21" customFormat="1" ht="24" x14ac:dyDescent="0.2">
      <c r="A19" s="53">
        <v>1411</v>
      </c>
      <c r="B19" s="200"/>
      <c r="C19" s="52" t="s">
        <v>34</v>
      </c>
      <c r="D19" s="61">
        <f t="shared" si="0"/>
        <v>92216.09</v>
      </c>
      <c r="E19" s="20"/>
      <c r="F19" s="20"/>
      <c r="G19" s="20"/>
      <c r="H19" s="20"/>
      <c r="I19" s="67"/>
      <c r="J19" s="20"/>
      <c r="K19" s="209">
        <v>15369.35</v>
      </c>
      <c r="L19" s="209">
        <v>15369.35</v>
      </c>
      <c r="M19" s="209">
        <v>15369.35</v>
      </c>
      <c r="N19" s="209">
        <v>15369.35</v>
      </c>
      <c r="O19" s="209">
        <v>15369.35</v>
      </c>
      <c r="P19" s="209">
        <v>15369.34</v>
      </c>
      <c r="Q19" s="487"/>
      <c r="R19" s="472"/>
    </row>
    <row r="20" spans="1:20" s="21" customFormat="1" x14ac:dyDescent="0.2">
      <c r="A20" s="53">
        <v>1421</v>
      </c>
      <c r="B20" s="200"/>
      <c r="C20" s="52" t="s">
        <v>35</v>
      </c>
      <c r="D20" s="61">
        <f t="shared" si="0"/>
        <v>1926.5299999999997</v>
      </c>
      <c r="E20" s="20"/>
      <c r="F20" s="20"/>
      <c r="G20" s="20"/>
      <c r="H20" s="20"/>
      <c r="I20" s="67"/>
      <c r="J20" s="20"/>
      <c r="K20" s="209">
        <v>321.08999999999997</v>
      </c>
      <c r="L20" s="209">
        <v>321.08999999999997</v>
      </c>
      <c r="M20" s="209">
        <v>321.08999999999997</v>
      </c>
      <c r="N20" s="209">
        <v>321.08999999999997</v>
      </c>
      <c r="O20" s="209">
        <v>321.08999999999997</v>
      </c>
      <c r="P20" s="209">
        <v>321.08</v>
      </c>
      <c r="Q20" s="487"/>
      <c r="R20" s="472"/>
    </row>
    <row r="21" spans="1:20" s="21" customFormat="1" x14ac:dyDescent="0.2">
      <c r="A21" s="53">
        <v>1431</v>
      </c>
      <c r="B21" s="200"/>
      <c r="C21" s="52" t="s">
        <v>36</v>
      </c>
      <c r="D21" s="61">
        <f t="shared" si="0"/>
        <v>6742.09</v>
      </c>
      <c r="E21" s="20"/>
      <c r="F21" s="20"/>
      <c r="G21" s="20"/>
      <c r="H21" s="20"/>
      <c r="I21" s="67"/>
      <c r="J21" s="20"/>
      <c r="K21" s="209">
        <v>1123.68</v>
      </c>
      <c r="L21" s="209">
        <v>1123.68</v>
      </c>
      <c r="M21" s="209">
        <v>1123.68</v>
      </c>
      <c r="N21" s="209">
        <v>1123.68</v>
      </c>
      <c r="O21" s="209">
        <v>1123.68</v>
      </c>
      <c r="P21" s="209">
        <v>1123.69</v>
      </c>
      <c r="Q21" s="487"/>
      <c r="R21" s="472"/>
    </row>
    <row r="22" spans="1:20" s="21" customFormat="1" ht="24" x14ac:dyDescent="0.2">
      <c r="A22" s="53">
        <v>1432</v>
      </c>
      <c r="B22" s="200"/>
      <c r="C22" s="52" t="s">
        <v>37</v>
      </c>
      <c r="D22" s="61">
        <f t="shared" si="0"/>
        <v>1284.4499999999998</v>
      </c>
      <c r="E22" s="20"/>
      <c r="F22" s="20"/>
      <c r="G22" s="20"/>
      <c r="H22" s="20"/>
      <c r="I22" s="67"/>
      <c r="J22" s="20"/>
      <c r="K22" s="209">
        <v>214.07</v>
      </c>
      <c r="L22" s="209">
        <v>214.07</v>
      </c>
      <c r="M22" s="209">
        <v>214.07</v>
      </c>
      <c r="N22" s="209">
        <v>214.07</v>
      </c>
      <c r="O22" s="209">
        <v>214.07</v>
      </c>
      <c r="P22" s="209">
        <v>214.1</v>
      </c>
      <c r="Q22" s="487"/>
      <c r="R22" s="472"/>
    </row>
    <row r="23" spans="1:20" s="21" customFormat="1" x14ac:dyDescent="0.2">
      <c r="A23" s="53">
        <v>1543</v>
      </c>
      <c r="B23" s="200"/>
      <c r="C23" s="52" t="s">
        <v>38</v>
      </c>
      <c r="D23" s="61">
        <f>SUM(E23:P23)</f>
        <v>72926.100000000006</v>
      </c>
      <c r="E23" s="20">
        <v>24308.7</v>
      </c>
      <c r="F23" s="20">
        <v>24308.7</v>
      </c>
      <c r="G23" s="20">
        <v>24308.7</v>
      </c>
      <c r="H23" s="20"/>
      <c r="I23" s="67"/>
      <c r="J23" s="20"/>
      <c r="K23" s="209"/>
      <c r="L23" s="209"/>
      <c r="M23" s="209"/>
      <c r="N23" s="209"/>
      <c r="O23" s="209"/>
      <c r="P23" s="209"/>
      <c r="Q23" s="487"/>
      <c r="R23" s="472"/>
    </row>
    <row r="24" spans="1:20" s="21" customFormat="1" x14ac:dyDescent="0.2">
      <c r="A24" s="53">
        <v>1611</v>
      </c>
      <c r="B24" s="200"/>
      <c r="C24" s="52" t="s">
        <v>121</v>
      </c>
      <c r="D24" s="61">
        <f t="shared" si="0"/>
        <v>0</v>
      </c>
      <c r="E24" s="20"/>
      <c r="F24" s="20"/>
      <c r="G24" s="20"/>
      <c r="H24" s="20"/>
      <c r="I24" s="20"/>
      <c r="J24" s="20"/>
      <c r="K24" s="209"/>
      <c r="L24" s="209"/>
      <c r="M24" s="209"/>
      <c r="N24" s="209"/>
      <c r="O24" s="209"/>
      <c r="P24" s="209"/>
      <c r="Q24" s="487"/>
      <c r="R24" s="472"/>
    </row>
    <row r="25" spans="1:20" s="21" customFormat="1" x14ac:dyDescent="0.2">
      <c r="A25" s="53">
        <v>1715</v>
      </c>
      <c r="B25" s="200"/>
      <c r="C25" s="52" t="s">
        <v>39</v>
      </c>
      <c r="D25" s="61">
        <f t="shared" si="0"/>
        <v>0</v>
      </c>
      <c r="E25" s="20"/>
      <c r="F25" s="20"/>
      <c r="G25" s="20"/>
      <c r="H25" s="20"/>
      <c r="I25" s="20"/>
      <c r="J25" s="20"/>
      <c r="K25" s="209"/>
      <c r="L25" s="209"/>
      <c r="M25" s="209"/>
      <c r="N25" s="209"/>
      <c r="O25" s="209"/>
      <c r="P25" s="209"/>
      <c r="Q25" s="487"/>
      <c r="R25" s="472"/>
    </row>
    <row r="26" spans="1:20" s="21" customFormat="1" x14ac:dyDescent="0.2">
      <c r="A26" s="53">
        <v>1719</v>
      </c>
      <c r="B26" s="200"/>
      <c r="C26" s="52" t="s">
        <v>40</v>
      </c>
      <c r="D26" s="61">
        <f t="shared" si="0"/>
        <v>0</v>
      </c>
      <c r="E26" s="20"/>
      <c r="F26" s="20"/>
      <c r="G26" s="20"/>
      <c r="H26" s="20"/>
      <c r="I26" s="20"/>
      <c r="J26" s="20"/>
      <c r="K26" s="209"/>
      <c r="L26" s="209"/>
      <c r="M26" s="209"/>
      <c r="N26" s="209"/>
      <c r="O26" s="209"/>
      <c r="P26" s="209"/>
      <c r="Q26" s="487"/>
      <c r="R26" s="472"/>
    </row>
    <row r="27" spans="1:20" s="21" customFormat="1" x14ac:dyDescent="0.2">
      <c r="A27" s="53">
        <v>1712</v>
      </c>
      <c r="B27" s="200"/>
      <c r="C27" s="52" t="s">
        <v>41</v>
      </c>
      <c r="D27" s="61">
        <f t="shared" si="0"/>
        <v>9244.2199999999993</v>
      </c>
      <c r="E27" s="20"/>
      <c r="F27" s="20"/>
      <c r="G27" s="20"/>
      <c r="H27" s="20"/>
      <c r="I27" s="20"/>
      <c r="J27" s="20"/>
      <c r="K27" s="209">
        <v>1540.7</v>
      </c>
      <c r="L27" s="209">
        <v>1540.7</v>
      </c>
      <c r="M27" s="209">
        <v>1540.7</v>
      </c>
      <c r="N27" s="209">
        <v>1540.7</v>
      </c>
      <c r="O27" s="209">
        <v>1540.7</v>
      </c>
      <c r="P27" s="209">
        <v>1540.72</v>
      </c>
      <c r="Q27" s="488"/>
      <c r="R27" s="472"/>
    </row>
    <row r="28" spans="1:20" s="11" customFormat="1" ht="25.5" x14ac:dyDescent="0.2">
      <c r="A28" s="22"/>
      <c r="B28" s="201"/>
      <c r="C28" s="62" t="s">
        <v>16</v>
      </c>
      <c r="D28" s="65">
        <f>SUM(D13:D27)</f>
        <v>868858.5399999998</v>
      </c>
      <c r="E28" s="24">
        <f t="shared" ref="E28:P28" si="1">SUM(E13:E27)</f>
        <v>24308.7</v>
      </c>
      <c r="F28" s="24">
        <f t="shared" si="1"/>
        <v>24308.7</v>
      </c>
      <c r="G28" s="24">
        <f t="shared" si="1"/>
        <v>24308.7</v>
      </c>
      <c r="H28" s="24">
        <f t="shared" si="1"/>
        <v>10000</v>
      </c>
      <c r="I28" s="24">
        <f t="shared" si="1"/>
        <v>0</v>
      </c>
      <c r="J28" s="24">
        <f t="shared" si="1"/>
        <v>0</v>
      </c>
      <c r="K28" s="24">
        <f t="shared" si="1"/>
        <v>89905.11</v>
      </c>
      <c r="L28" s="24">
        <f t="shared" si="1"/>
        <v>197056.3</v>
      </c>
      <c r="M28" s="24">
        <f t="shared" si="1"/>
        <v>89905.11</v>
      </c>
      <c r="N28" s="24">
        <f t="shared" si="1"/>
        <v>89905.11</v>
      </c>
      <c r="O28" s="24">
        <f t="shared" si="1"/>
        <v>89905.11</v>
      </c>
      <c r="P28" s="24">
        <f t="shared" si="1"/>
        <v>229255.69999999998</v>
      </c>
      <c r="Q28" s="25"/>
      <c r="R28" s="26"/>
      <c r="T28" s="46"/>
    </row>
    <row r="29" spans="1:20" s="21" customFormat="1" ht="24" x14ac:dyDescent="0.2">
      <c r="A29" s="54">
        <v>2111</v>
      </c>
      <c r="B29" s="200"/>
      <c r="C29" s="49" t="s">
        <v>42</v>
      </c>
      <c r="D29" s="61">
        <f t="shared" ref="D29:D92" si="2">SUM(E29:P29)</f>
        <v>20000</v>
      </c>
      <c r="E29" s="28"/>
      <c r="F29" s="29"/>
      <c r="G29" s="29"/>
      <c r="H29" s="29"/>
      <c r="I29" s="28">
        <v>20000</v>
      </c>
      <c r="J29" s="29"/>
      <c r="K29" s="29"/>
      <c r="L29" s="28"/>
      <c r="M29" s="29"/>
      <c r="N29" s="28"/>
      <c r="O29" s="29"/>
      <c r="P29" s="29"/>
      <c r="Q29" s="30"/>
    </row>
    <row r="30" spans="1:20" s="21" customFormat="1" ht="24" x14ac:dyDescent="0.2">
      <c r="A30" s="54">
        <v>2121</v>
      </c>
      <c r="B30" s="200"/>
      <c r="C30" s="49" t="s">
        <v>123</v>
      </c>
      <c r="D30" s="61">
        <f t="shared" si="2"/>
        <v>0</v>
      </c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1" spans="1:20" s="21" customFormat="1" ht="36" x14ac:dyDescent="0.2">
      <c r="A31" s="54">
        <v>2141</v>
      </c>
      <c r="B31" s="200"/>
      <c r="C31" s="49" t="s">
        <v>43</v>
      </c>
      <c r="D31" s="61">
        <f t="shared" si="2"/>
        <v>28000</v>
      </c>
      <c r="E31" s="28"/>
      <c r="F31" s="28"/>
      <c r="G31" s="28"/>
      <c r="H31" s="28"/>
      <c r="I31" s="28">
        <v>28000</v>
      </c>
      <c r="J31" s="28"/>
      <c r="K31" s="28"/>
      <c r="L31" s="28"/>
      <c r="M31" s="28"/>
      <c r="N31" s="28"/>
      <c r="O31" s="28"/>
      <c r="P31" s="28"/>
      <c r="Q31" s="30"/>
    </row>
    <row r="32" spans="1:20" s="21" customFormat="1" x14ac:dyDescent="0.2">
      <c r="A32" s="54">
        <v>2151</v>
      </c>
      <c r="B32" s="200"/>
      <c r="C32" s="49" t="s">
        <v>44</v>
      </c>
      <c r="D32" s="61">
        <f t="shared" si="2"/>
        <v>409011.26</v>
      </c>
      <c r="E32" s="28"/>
      <c r="F32" s="29"/>
      <c r="G32" s="181">
        <v>409011.26</v>
      </c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1:17" s="21" customFormat="1" x14ac:dyDescent="0.2">
      <c r="A33" s="54">
        <v>2161</v>
      </c>
      <c r="B33" s="200"/>
      <c r="C33" s="49" t="s">
        <v>45</v>
      </c>
      <c r="D33" s="61">
        <f t="shared" si="2"/>
        <v>0</v>
      </c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30"/>
    </row>
    <row r="34" spans="1:17" s="21" customFormat="1" x14ac:dyDescent="0.2">
      <c r="A34" s="54">
        <v>2171</v>
      </c>
      <c r="B34" s="200"/>
      <c r="C34" s="49" t="s">
        <v>46</v>
      </c>
      <c r="D34" s="61">
        <f t="shared" si="2"/>
        <v>0</v>
      </c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</row>
    <row r="35" spans="1:17" s="21" customFormat="1" ht="24" x14ac:dyDescent="0.2">
      <c r="A35" s="54">
        <v>2211</v>
      </c>
      <c r="B35" s="200"/>
      <c r="C35" s="49" t="s">
        <v>47</v>
      </c>
      <c r="D35" s="61">
        <f t="shared" si="2"/>
        <v>10000</v>
      </c>
      <c r="E35" s="28"/>
      <c r="F35" s="28"/>
      <c r="G35" s="28"/>
      <c r="H35" s="28"/>
      <c r="I35" s="28">
        <v>10000</v>
      </c>
      <c r="J35" s="28"/>
      <c r="K35" s="28"/>
      <c r="L35" s="28"/>
      <c r="M35" s="28"/>
      <c r="N35" s="28"/>
      <c r="O35" s="28"/>
      <c r="P35" s="28"/>
      <c r="Q35" s="30"/>
    </row>
    <row r="36" spans="1:17" s="21" customFormat="1" x14ac:dyDescent="0.2">
      <c r="A36" s="54">
        <v>2221</v>
      </c>
      <c r="B36" s="200"/>
      <c r="C36" s="49" t="s">
        <v>48</v>
      </c>
      <c r="D36" s="61">
        <f t="shared" si="2"/>
        <v>2000</v>
      </c>
      <c r="E36" s="28"/>
      <c r="F36" s="29"/>
      <c r="G36" s="29"/>
      <c r="H36" s="29"/>
      <c r="I36" s="29">
        <v>2000</v>
      </c>
      <c r="J36" s="29"/>
      <c r="K36" s="29"/>
      <c r="L36" s="29"/>
      <c r="M36" s="29"/>
      <c r="N36" s="29"/>
      <c r="O36" s="29"/>
      <c r="P36" s="29"/>
      <c r="Q36" s="30"/>
    </row>
    <row r="37" spans="1:17" s="21" customFormat="1" x14ac:dyDescent="0.2">
      <c r="A37" s="54">
        <v>2231</v>
      </c>
      <c r="B37" s="200"/>
      <c r="C37" s="49" t="s">
        <v>49</v>
      </c>
      <c r="D37" s="61">
        <f t="shared" si="2"/>
        <v>5000</v>
      </c>
      <c r="E37" s="28"/>
      <c r="F37" s="29"/>
      <c r="G37" s="29"/>
      <c r="H37" s="29"/>
      <c r="I37" s="29">
        <v>5000</v>
      </c>
      <c r="J37" s="29"/>
      <c r="K37" s="29"/>
      <c r="L37" s="29"/>
      <c r="M37" s="29"/>
      <c r="N37" s="29"/>
      <c r="O37" s="29"/>
      <c r="P37" s="29"/>
      <c r="Q37" s="30"/>
    </row>
    <row r="38" spans="1:17" s="21" customFormat="1" x14ac:dyDescent="0.2">
      <c r="A38" s="54">
        <v>2411</v>
      </c>
      <c r="B38" s="200"/>
      <c r="C38" s="49" t="s">
        <v>50</v>
      </c>
      <c r="D38" s="61">
        <f t="shared" si="2"/>
        <v>0</v>
      </c>
      <c r="E38" s="2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s="21" customFormat="1" x14ac:dyDescent="0.2">
      <c r="A39" s="54">
        <v>2421</v>
      </c>
      <c r="B39" s="200"/>
      <c r="C39" s="49" t="s">
        <v>51</v>
      </c>
      <c r="D39" s="61">
        <f t="shared" si="2"/>
        <v>0</v>
      </c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0"/>
    </row>
    <row r="40" spans="1:17" s="21" customFormat="1" x14ac:dyDescent="0.2">
      <c r="A40" s="54">
        <v>2431</v>
      </c>
      <c r="B40" s="200"/>
      <c r="C40" s="49" t="s">
        <v>52</v>
      </c>
      <c r="D40" s="61">
        <f t="shared" si="2"/>
        <v>0</v>
      </c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7" s="21" customFormat="1" x14ac:dyDescent="0.2">
      <c r="A41" s="54">
        <v>2441</v>
      </c>
      <c r="B41" s="200"/>
      <c r="C41" s="49" t="s">
        <v>53</v>
      </c>
      <c r="D41" s="61">
        <f t="shared" si="2"/>
        <v>0</v>
      </c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1:17" s="21" customFormat="1" x14ac:dyDescent="0.2">
      <c r="A42" s="54">
        <v>2451</v>
      </c>
      <c r="B42" s="200"/>
      <c r="C42" s="49" t="s">
        <v>54</v>
      </c>
      <c r="D42" s="61">
        <f t="shared" si="2"/>
        <v>0</v>
      </c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0"/>
    </row>
    <row r="43" spans="1:17" s="21" customFormat="1" x14ac:dyDescent="0.2">
      <c r="A43" s="54">
        <v>2461</v>
      </c>
      <c r="B43" s="200"/>
      <c r="C43" s="49" t="s">
        <v>55</v>
      </c>
      <c r="D43" s="61">
        <f t="shared" si="2"/>
        <v>0</v>
      </c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</row>
    <row r="44" spans="1:17" s="21" customFormat="1" x14ac:dyDescent="0.2">
      <c r="A44" s="55">
        <v>2471</v>
      </c>
      <c r="B44" s="200"/>
      <c r="C44" s="49" t="s">
        <v>56</v>
      </c>
      <c r="D44" s="61">
        <f t="shared" si="2"/>
        <v>20000</v>
      </c>
      <c r="E44" s="28"/>
      <c r="F44" s="29"/>
      <c r="G44" s="29"/>
      <c r="H44" s="29"/>
      <c r="I44" s="29">
        <v>20000</v>
      </c>
      <c r="J44" s="29"/>
      <c r="K44" s="29"/>
      <c r="L44" s="29"/>
      <c r="M44" s="29"/>
      <c r="N44" s="29"/>
      <c r="O44" s="29"/>
      <c r="P44" s="29"/>
      <c r="Q44" s="30"/>
    </row>
    <row r="45" spans="1:17" s="21" customFormat="1" x14ac:dyDescent="0.2">
      <c r="A45" s="55">
        <v>2481</v>
      </c>
      <c r="B45" s="200"/>
      <c r="C45" s="49" t="s">
        <v>57</v>
      </c>
      <c r="D45" s="61">
        <f t="shared" si="2"/>
        <v>0</v>
      </c>
      <c r="E45" s="2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/>
    </row>
    <row r="46" spans="1:17" s="21" customFormat="1" ht="24" x14ac:dyDescent="0.2">
      <c r="A46" s="54">
        <v>2491</v>
      </c>
      <c r="B46" s="200"/>
      <c r="C46" s="49" t="s">
        <v>58</v>
      </c>
      <c r="D46" s="61">
        <f t="shared" si="2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0"/>
    </row>
    <row r="47" spans="1:17" s="21" customFormat="1" x14ac:dyDescent="0.2">
      <c r="A47" s="54">
        <v>2511</v>
      </c>
      <c r="B47" s="200"/>
      <c r="C47" s="49" t="s">
        <v>59</v>
      </c>
      <c r="D47" s="61">
        <f t="shared" si="2"/>
        <v>0</v>
      </c>
      <c r="E47" s="28"/>
      <c r="F47" s="29"/>
      <c r="G47" s="28"/>
      <c r="H47" s="29"/>
      <c r="I47" s="29"/>
      <c r="J47" s="29"/>
      <c r="K47" s="28"/>
      <c r="L47" s="29"/>
      <c r="M47" s="29"/>
      <c r="N47" s="29"/>
      <c r="O47" s="29"/>
      <c r="P47" s="29"/>
      <c r="Q47" s="30"/>
    </row>
    <row r="48" spans="1:17" s="21" customFormat="1" x14ac:dyDescent="0.2">
      <c r="A48" s="54">
        <v>2521</v>
      </c>
      <c r="B48" s="200"/>
      <c r="C48" s="49" t="s">
        <v>60</v>
      </c>
      <c r="D48" s="61">
        <f t="shared" si="2"/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30"/>
    </row>
    <row r="49" spans="1:17" s="21" customFormat="1" x14ac:dyDescent="0.2">
      <c r="A49" s="54">
        <v>2531</v>
      </c>
      <c r="B49" s="200"/>
      <c r="C49" s="49" t="s">
        <v>61</v>
      </c>
      <c r="D49" s="61">
        <f t="shared" si="2"/>
        <v>0</v>
      </c>
      <c r="E49" s="28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29"/>
      <c r="Q49" s="30"/>
    </row>
    <row r="50" spans="1:17" s="21" customFormat="1" ht="24" x14ac:dyDescent="0.2">
      <c r="A50" s="54">
        <v>2541</v>
      </c>
      <c r="B50" s="200"/>
      <c r="C50" s="49" t="s">
        <v>62</v>
      </c>
      <c r="D50" s="61">
        <f t="shared" si="2"/>
        <v>0</v>
      </c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s="21" customFormat="1" ht="24" x14ac:dyDescent="0.2">
      <c r="A51" s="54">
        <v>2551</v>
      </c>
      <c r="B51" s="200"/>
      <c r="C51" s="49" t="s">
        <v>63</v>
      </c>
      <c r="D51" s="61">
        <f t="shared" si="2"/>
        <v>20000</v>
      </c>
      <c r="E51" s="28"/>
      <c r="F51" s="29"/>
      <c r="G51" s="29"/>
      <c r="H51" s="29"/>
      <c r="I51" s="29">
        <v>20000</v>
      </c>
      <c r="J51" s="29"/>
      <c r="K51" s="29"/>
      <c r="L51" s="29"/>
      <c r="M51" s="29"/>
      <c r="N51" s="29"/>
      <c r="O51" s="29"/>
      <c r="P51" s="29"/>
      <c r="Q51" s="30"/>
    </row>
    <row r="52" spans="1:17" s="21" customFormat="1" x14ac:dyDescent="0.2">
      <c r="A52" s="54">
        <v>2561</v>
      </c>
      <c r="B52" s="200"/>
      <c r="C52" s="49" t="s">
        <v>64</v>
      </c>
      <c r="D52" s="61">
        <f t="shared" si="2"/>
        <v>20000</v>
      </c>
      <c r="E52" s="28"/>
      <c r="F52" s="29"/>
      <c r="G52" s="29"/>
      <c r="H52" s="29"/>
      <c r="I52" s="28">
        <v>20000</v>
      </c>
      <c r="J52" s="29"/>
      <c r="K52" s="29"/>
      <c r="L52" s="28"/>
      <c r="M52" s="29"/>
      <c r="N52" s="29"/>
      <c r="O52" s="28"/>
      <c r="P52" s="29"/>
      <c r="Q52" s="30"/>
    </row>
    <row r="53" spans="1:17" s="21" customFormat="1" x14ac:dyDescent="0.2">
      <c r="A53" s="54">
        <v>2591</v>
      </c>
      <c r="B53" s="200"/>
      <c r="C53" s="49" t="s">
        <v>65</v>
      </c>
      <c r="D53" s="61">
        <f t="shared" si="2"/>
        <v>0</v>
      </c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</row>
    <row r="54" spans="1:17" s="21" customFormat="1" x14ac:dyDescent="0.2">
      <c r="A54" s="54">
        <v>2611</v>
      </c>
      <c r="B54" s="200"/>
      <c r="C54" s="49" t="s">
        <v>66</v>
      </c>
      <c r="D54" s="61">
        <f t="shared" si="2"/>
        <v>20000</v>
      </c>
      <c r="E54" s="28"/>
      <c r="F54" s="28"/>
      <c r="G54" s="28"/>
      <c r="H54" s="28"/>
      <c r="I54" s="28">
        <v>20000</v>
      </c>
      <c r="J54" s="28"/>
      <c r="K54" s="28"/>
      <c r="L54" s="28"/>
      <c r="M54" s="28"/>
      <c r="N54" s="28"/>
      <c r="O54" s="28"/>
      <c r="P54" s="28"/>
      <c r="Q54" s="30"/>
    </row>
    <row r="55" spans="1:17" s="21" customFormat="1" x14ac:dyDescent="0.2">
      <c r="A55" s="54">
        <v>2612</v>
      </c>
      <c r="B55" s="200"/>
      <c r="C55" s="49" t="s">
        <v>67</v>
      </c>
      <c r="D55" s="61">
        <f t="shared" si="2"/>
        <v>0</v>
      </c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</row>
    <row r="56" spans="1:17" s="21" customFormat="1" x14ac:dyDescent="0.2">
      <c r="A56" s="54">
        <v>2711</v>
      </c>
      <c r="B56" s="200"/>
      <c r="C56" s="49" t="s">
        <v>68</v>
      </c>
      <c r="D56" s="61">
        <f t="shared" si="2"/>
        <v>0</v>
      </c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</row>
    <row r="57" spans="1:17" s="21" customFormat="1" x14ac:dyDescent="0.2">
      <c r="A57" s="54">
        <v>2721</v>
      </c>
      <c r="B57" s="200"/>
      <c r="C57" s="49" t="s">
        <v>69</v>
      </c>
      <c r="D57" s="61">
        <f t="shared" si="2"/>
        <v>0</v>
      </c>
      <c r="E57" s="2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</row>
    <row r="58" spans="1:17" s="21" customFormat="1" x14ac:dyDescent="0.2">
      <c r="A58" s="54">
        <v>2731</v>
      </c>
      <c r="B58" s="200"/>
      <c r="C58" s="49" t="s">
        <v>70</v>
      </c>
      <c r="D58" s="61">
        <f t="shared" si="2"/>
        <v>0</v>
      </c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</row>
    <row r="59" spans="1:17" s="21" customFormat="1" x14ac:dyDescent="0.2">
      <c r="A59" s="54">
        <v>2911</v>
      </c>
      <c r="B59" s="200"/>
      <c r="C59" s="51" t="s">
        <v>71</v>
      </c>
      <c r="D59" s="61">
        <f t="shared" si="2"/>
        <v>20000</v>
      </c>
      <c r="E59" s="28"/>
      <c r="F59" s="29"/>
      <c r="G59" s="29"/>
      <c r="H59" s="29"/>
      <c r="I59" s="29">
        <v>20000</v>
      </c>
      <c r="J59" s="29"/>
      <c r="K59" s="29"/>
      <c r="L59" s="29"/>
      <c r="M59" s="29"/>
      <c r="N59" s="29"/>
      <c r="O59" s="29"/>
      <c r="P59" s="29"/>
      <c r="Q59" s="30"/>
    </row>
    <row r="60" spans="1:17" s="21" customFormat="1" ht="24" x14ac:dyDescent="0.2">
      <c r="A60" s="54">
        <v>2921</v>
      </c>
      <c r="B60" s="200"/>
      <c r="C60" s="51" t="s">
        <v>72</v>
      </c>
      <c r="D60" s="61">
        <f t="shared" si="2"/>
        <v>15000</v>
      </c>
      <c r="E60" s="28"/>
      <c r="F60" s="29"/>
      <c r="G60" s="29">
        <v>15000</v>
      </c>
      <c r="H60" s="29"/>
      <c r="I60" s="29"/>
      <c r="J60" s="29"/>
      <c r="K60" s="29"/>
      <c r="L60" s="29"/>
      <c r="M60" s="29"/>
      <c r="N60" s="29"/>
      <c r="O60" s="29"/>
      <c r="P60" s="29"/>
      <c r="Q60" s="30"/>
    </row>
    <row r="61" spans="1:17" s="21" customFormat="1" ht="36" x14ac:dyDescent="0.2">
      <c r="A61" s="54">
        <v>2931</v>
      </c>
      <c r="B61" s="200"/>
      <c r="C61" s="51" t="s">
        <v>73</v>
      </c>
      <c r="D61" s="61">
        <f t="shared" si="2"/>
        <v>0</v>
      </c>
      <c r="E61" s="2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</row>
    <row r="62" spans="1:17" s="21" customFormat="1" ht="36" x14ac:dyDescent="0.2">
      <c r="A62" s="54">
        <v>2941</v>
      </c>
      <c r="B62" s="200"/>
      <c r="C62" s="51" t="s">
        <v>74</v>
      </c>
      <c r="D62" s="61">
        <f t="shared" si="2"/>
        <v>0</v>
      </c>
      <c r="E62" s="28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</row>
    <row r="63" spans="1:17" s="21" customFormat="1" ht="36" x14ac:dyDescent="0.2">
      <c r="A63" s="54">
        <v>2951</v>
      </c>
      <c r="B63" s="200"/>
      <c r="C63" s="51" t="s">
        <v>75</v>
      </c>
      <c r="D63" s="61">
        <f t="shared" si="2"/>
        <v>0</v>
      </c>
      <c r="E63" s="28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</row>
    <row r="64" spans="1:17" s="21" customFormat="1" ht="24" x14ac:dyDescent="0.2">
      <c r="A64" s="54">
        <v>2961</v>
      </c>
      <c r="B64" s="200"/>
      <c r="C64" s="51" t="s">
        <v>76</v>
      </c>
      <c r="D64" s="61">
        <f>SUM(G64:P64)</f>
        <v>0</v>
      </c>
      <c r="E64" s="67"/>
      <c r="G64" s="28"/>
      <c r="H64" s="28"/>
      <c r="J64" s="28"/>
      <c r="L64" s="28"/>
      <c r="M64" s="28"/>
      <c r="N64" s="28"/>
      <c r="O64" s="28"/>
      <c r="P64" s="28"/>
      <c r="Q64" s="30"/>
    </row>
    <row r="65" spans="1:18" s="21" customFormat="1" ht="24" x14ac:dyDescent="0.2">
      <c r="A65" s="54">
        <v>2981</v>
      </c>
      <c r="B65" s="200"/>
      <c r="C65" s="51" t="s">
        <v>77</v>
      </c>
      <c r="D65" s="61">
        <f t="shared" si="2"/>
        <v>0</v>
      </c>
      <c r="E65" s="28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</row>
    <row r="66" spans="1:18" s="21" customFormat="1" ht="24" x14ac:dyDescent="0.2">
      <c r="A66" s="54">
        <v>2991</v>
      </c>
      <c r="B66" s="200"/>
      <c r="C66" s="51" t="s">
        <v>78</v>
      </c>
      <c r="D66" s="61">
        <f t="shared" si="2"/>
        <v>0</v>
      </c>
      <c r="E66" s="28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</row>
    <row r="67" spans="1:18" s="11" customFormat="1" ht="25.5" x14ac:dyDescent="0.2">
      <c r="A67" s="22"/>
      <c r="B67" s="201"/>
      <c r="C67" s="62" t="s">
        <v>17</v>
      </c>
      <c r="D67" s="66">
        <f>SUM(D29:D66)</f>
        <v>589011.26</v>
      </c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  <c r="R67" s="26">
        <f>SUM(E67:Q67)</f>
        <v>0</v>
      </c>
    </row>
    <row r="68" spans="1:18" s="21" customFormat="1" x14ac:dyDescent="0.2">
      <c r="A68" s="54">
        <v>3111</v>
      </c>
      <c r="B68" s="200"/>
      <c r="C68" s="49" t="s">
        <v>80</v>
      </c>
      <c r="D68" s="61">
        <f t="shared" si="2"/>
        <v>66463.05</v>
      </c>
      <c r="E68" s="28">
        <v>20000</v>
      </c>
      <c r="F68" s="28">
        <v>16463.05</v>
      </c>
      <c r="H68" s="28"/>
      <c r="I68" s="28"/>
      <c r="J68" s="28"/>
      <c r="K68" s="28"/>
      <c r="L68" s="28"/>
      <c r="M68" s="28"/>
      <c r="N68" s="28">
        <v>30000</v>
      </c>
      <c r="O68" s="28"/>
      <c r="P68" s="28"/>
      <c r="Q68" s="30" t="s">
        <v>254</v>
      </c>
    </row>
    <row r="69" spans="1:18" s="21" customFormat="1" x14ac:dyDescent="0.2">
      <c r="A69" s="54">
        <v>3121</v>
      </c>
      <c r="B69" s="200"/>
      <c r="C69" s="49" t="s">
        <v>81</v>
      </c>
      <c r="D69" s="61">
        <f t="shared" si="2"/>
        <v>0</v>
      </c>
      <c r="E69" s="28"/>
      <c r="F69" s="29"/>
      <c r="G69" s="29"/>
      <c r="H69" s="29"/>
      <c r="I69" s="29"/>
      <c r="J69" s="28"/>
      <c r="K69" s="29"/>
      <c r="L69" s="28"/>
      <c r="M69" s="29"/>
      <c r="N69" s="28"/>
      <c r="O69" s="29"/>
      <c r="P69" s="29"/>
      <c r="Q69" s="30"/>
    </row>
    <row r="70" spans="1:18" s="21" customFormat="1" x14ac:dyDescent="0.2">
      <c r="A70" s="54">
        <v>3141</v>
      </c>
      <c r="B70" s="200"/>
      <c r="C70" s="49" t="s">
        <v>82</v>
      </c>
      <c r="D70" s="61">
        <f>SUM(E70:P70)</f>
        <v>0</v>
      </c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30"/>
    </row>
    <row r="71" spans="1:18" s="21" customFormat="1" x14ac:dyDescent="0.2">
      <c r="A71" s="54">
        <v>3151</v>
      </c>
      <c r="B71" s="200"/>
      <c r="C71" s="49" t="s">
        <v>83</v>
      </c>
      <c r="D71" s="61">
        <f>SUM(E71:P71)</f>
        <v>5000</v>
      </c>
      <c r="E71" s="28"/>
      <c r="F71" s="28"/>
      <c r="G71" s="28">
        <v>5000</v>
      </c>
      <c r="H71" s="28"/>
      <c r="I71" s="28"/>
      <c r="J71" s="28"/>
      <c r="K71" s="28"/>
      <c r="L71" s="28"/>
      <c r="M71" s="28"/>
      <c r="N71" s="28"/>
      <c r="O71" s="28"/>
      <c r="P71" s="28"/>
      <c r="Q71" s="30"/>
    </row>
    <row r="72" spans="1:18" s="21" customFormat="1" ht="24" x14ac:dyDescent="0.2">
      <c r="A72" s="54">
        <v>3171</v>
      </c>
      <c r="B72" s="200"/>
      <c r="C72" s="49" t="s">
        <v>84</v>
      </c>
      <c r="D72" s="61">
        <f t="shared" si="2"/>
        <v>55000</v>
      </c>
      <c r="E72" s="28"/>
      <c r="F72" s="28"/>
      <c r="G72" s="28">
        <v>55000</v>
      </c>
      <c r="H72" s="28"/>
      <c r="I72" s="28"/>
      <c r="J72" s="28"/>
      <c r="K72" s="28"/>
      <c r="L72" s="28"/>
      <c r="M72" s="28"/>
      <c r="N72" s="28"/>
      <c r="O72" s="28"/>
      <c r="P72" s="28"/>
      <c r="Q72" s="30"/>
    </row>
    <row r="73" spans="1:18" s="21" customFormat="1" x14ac:dyDescent="0.2">
      <c r="A73" s="54">
        <v>3181</v>
      </c>
      <c r="B73" s="200"/>
      <c r="C73" s="49" t="s">
        <v>85</v>
      </c>
      <c r="D73" s="61">
        <f t="shared" si="2"/>
        <v>20000</v>
      </c>
      <c r="E73" s="28">
        <v>1000</v>
      </c>
      <c r="F73" s="28">
        <v>1000</v>
      </c>
      <c r="G73" s="28">
        <v>11000</v>
      </c>
      <c r="H73" s="28">
        <v>1000</v>
      </c>
      <c r="I73" s="28">
        <v>1000</v>
      </c>
      <c r="J73" s="28">
        <v>1000</v>
      </c>
      <c r="K73" s="28">
        <v>1000</v>
      </c>
      <c r="L73" s="28">
        <v>1000</v>
      </c>
      <c r="M73" s="28">
        <v>1000</v>
      </c>
      <c r="N73" s="28">
        <v>1000</v>
      </c>
      <c r="O73" s="28"/>
      <c r="P73" s="28"/>
      <c r="Q73" s="30"/>
    </row>
    <row r="74" spans="1:18" s="21" customFormat="1" x14ac:dyDescent="0.2">
      <c r="A74" s="54">
        <v>3221</v>
      </c>
      <c r="B74" s="200"/>
      <c r="C74" s="49" t="s">
        <v>86</v>
      </c>
      <c r="D74" s="61">
        <f t="shared" si="2"/>
        <v>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0"/>
    </row>
    <row r="75" spans="1:18" s="21" customFormat="1" x14ac:dyDescent="0.2">
      <c r="A75" s="56">
        <v>3231</v>
      </c>
      <c r="B75" s="202"/>
      <c r="C75" s="50" t="s">
        <v>87</v>
      </c>
      <c r="D75" s="61">
        <f t="shared" si="2"/>
        <v>5000</v>
      </c>
      <c r="E75" s="28"/>
      <c r="F75" s="29"/>
      <c r="G75" s="29">
        <v>5000</v>
      </c>
      <c r="H75" s="29"/>
      <c r="I75" s="29"/>
      <c r="J75" s="29"/>
      <c r="K75" s="29"/>
      <c r="L75" s="29"/>
      <c r="M75" s="29"/>
      <c r="N75" s="29"/>
      <c r="O75" s="29"/>
      <c r="P75" s="29"/>
      <c r="Q75" s="30"/>
    </row>
    <row r="76" spans="1:18" s="21" customFormat="1" ht="24" x14ac:dyDescent="0.2">
      <c r="A76" s="54">
        <v>3261</v>
      </c>
      <c r="B76" s="200"/>
      <c r="C76" s="49" t="s">
        <v>88</v>
      </c>
      <c r="D76" s="61">
        <f t="shared" si="2"/>
        <v>0</v>
      </c>
      <c r="E76" s="28"/>
      <c r="F76" s="29"/>
      <c r="G76" s="29"/>
      <c r="H76" s="28"/>
      <c r="I76" s="28"/>
      <c r="J76" s="29"/>
      <c r="K76" s="29"/>
      <c r="L76" s="29"/>
      <c r="M76" s="29"/>
      <c r="N76" s="29"/>
      <c r="O76" s="29"/>
      <c r="P76" s="29"/>
      <c r="Q76" s="30"/>
    </row>
    <row r="77" spans="1:18" s="21" customFormat="1" ht="24" x14ac:dyDescent="0.2">
      <c r="A77" s="54">
        <v>3311</v>
      </c>
      <c r="B77" s="200"/>
      <c r="C77" s="49" t="s">
        <v>89</v>
      </c>
      <c r="D77" s="61">
        <f t="shared" si="2"/>
        <v>115000</v>
      </c>
      <c r="E77" s="28"/>
      <c r="F77" s="28"/>
      <c r="G77" s="28">
        <v>55000</v>
      </c>
      <c r="H77" s="28"/>
      <c r="I77" s="28"/>
      <c r="J77" s="28"/>
      <c r="K77" s="28">
        <v>10000</v>
      </c>
      <c r="L77" s="28">
        <v>10000</v>
      </c>
      <c r="M77" s="28">
        <v>10000</v>
      </c>
      <c r="N77" s="28">
        <v>10000</v>
      </c>
      <c r="O77" s="28">
        <v>10000</v>
      </c>
      <c r="P77" s="28">
        <v>10000</v>
      </c>
      <c r="Q77" s="30"/>
    </row>
    <row r="78" spans="1:18" s="21" customFormat="1" ht="24" x14ac:dyDescent="0.2">
      <c r="A78" s="54">
        <v>3331</v>
      </c>
      <c r="B78" s="200"/>
      <c r="C78" s="49" t="s">
        <v>90</v>
      </c>
      <c r="D78" s="61">
        <f t="shared" si="2"/>
        <v>115080</v>
      </c>
      <c r="E78" s="28"/>
      <c r="F78" s="28"/>
      <c r="G78" s="28"/>
      <c r="H78" s="28"/>
      <c r="I78" s="28"/>
      <c r="J78" s="28"/>
      <c r="K78" s="28">
        <v>19180</v>
      </c>
      <c r="L78" s="28">
        <v>19180</v>
      </c>
      <c r="M78" s="28">
        <v>19180</v>
      </c>
      <c r="N78" s="28">
        <v>19180</v>
      </c>
      <c r="O78" s="28">
        <v>19180</v>
      </c>
      <c r="P78" s="28">
        <v>19180</v>
      </c>
      <c r="Q78" s="30"/>
    </row>
    <row r="79" spans="1:18" s="21" customFormat="1" x14ac:dyDescent="0.2">
      <c r="A79" s="54">
        <v>3341</v>
      </c>
      <c r="B79" s="200"/>
      <c r="C79" s="49" t="s">
        <v>91</v>
      </c>
      <c r="D79" s="61">
        <f t="shared" si="2"/>
        <v>0</v>
      </c>
      <c r="E79" s="28"/>
      <c r="F79" s="117"/>
      <c r="G79" s="117"/>
      <c r="H79" s="117"/>
      <c r="I79" s="117"/>
      <c r="J79" s="117"/>
      <c r="K79" s="117"/>
      <c r="L79" s="28"/>
      <c r="M79" s="117"/>
      <c r="N79" s="117"/>
      <c r="O79" s="117"/>
      <c r="P79" s="117"/>
      <c r="Q79" s="30"/>
    </row>
    <row r="80" spans="1:18" s="21" customFormat="1" x14ac:dyDescent="0.2">
      <c r="A80" s="54">
        <v>3342</v>
      </c>
      <c r="B80" s="200"/>
      <c r="C80" s="49" t="s">
        <v>92</v>
      </c>
      <c r="D80" s="61">
        <f t="shared" si="2"/>
        <v>0</v>
      </c>
      <c r="E80" s="28"/>
      <c r="F80" s="117"/>
      <c r="G80" s="117"/>
      <c r="H80" s="117"/>
      <c r="I80" s="117"/>
      <c r="J80" s="117"/>
      <c r="K80" s="117"/>
      <c r="L80" s="28"/>
      <c r="M80" s="117"/>
      <c r="N80" s="117"/>
      <c r="O80" s="117"/>
      <c r="P80" s="117"/>
      <c r="Q80" s="30"/>
    </row>
    <row r="81" spans="1:17" s="21" customFormat="1" ht="24" x14ac:dyDescent="0.2">
      <c r="A81" s="54">
        <v>3361</v>
      </c>
      <c r="B81" s="200"/>
      <c r="C81" s="49" t="s">
        <v>93</v>
      </c>
      <c r="D81" s="61">
        <f t="shared" si="2"/>
        <v>5000</v>
      </c>
      <c r="E81" s="28"/>
      <c r="F81" s="29"/>
      <c r="G81" s="29">
        <v>5000</v>
      </c>
      <c r="H81" s="29"/>
      <c r="I81" s="29"/>
      <c r="J81" s="29"/>
      <c r="K81" s="29"/>
      <c r="L81" s="29"/>
      <c r="M81" s="29"/>
      <c r="N81" s="29"/>
      <c r="O81" s="29"/>
      <c r="P81" s="29"/>
      <c r="Q81" s="30"/>
    </row>
    <row r="82" spans="1:17" s="21" customFormat="1" x14ac:dyDescent="0.2">
      <c r="A82" s="54">
        <v>3362</v>
      </c>
      <c r="B82" s="200"/>
      <c r="C82" s="49" t="s">
        <v>94</v>
      </c>
      <c r="D82" s="61">
        <f t="shared" si="2"/>
        <v>20000</v>
      </c>
      <c r="E82" s="28"/>
      <c r="F82" s="29"/>
      <c r="G82" s="29">
        <v>20000</v>
      </c>
      <c r="H82" s="29"/>
      <c r="I82" s="29"/>
      <c r="J82" s="29"/>
      <c r="K82" s="29"/>
      <c r="L82" s="29"/>
      <c r="M82" s="28"/>
      <c r="N82" s="29"/>
      <c r="O82" s="29"/>
      <c r="P82" s="29"/>
      <c r="Q82" s="30"/>
    </row>
    <row r="83" spans="1:17" s="21" customFormat="1" x14ac:dyDescent="0.2">
      <c r="A83" s="54">
        <v>3381</v>
      </c>
      <c r="B83" s="200"/>
      <c r="C83" s="49" t="s">
        <v>95</v>
      </c>
      <c r="D83" s="61">
        <f t="shared" si="2"/>
        <v>0</v>
      </c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30"/>
    </row>
    <row r="84" spans="1:17" s="21" customFormat="1" ht="24" x14ac:dyDescent="0.2">
      <c r="A84" s="54">
        <v>3391</v>
      </c>
      <c r="B84" s="200"/>
      <c r="C84" s="49" t="s">
        <v>96</v>
      </c>
      <c r="D84" s="61">
        <f t="shared" si="2"/>
        <v>380000</v>
      </c>
      <c r="E84" s="28">
        <v>35000</v>
      </c>
      <c r="F84" s="28">
        <v>25000</v>
      </c>
      <c r="G84" s="28">
        <v>35000</v>
      </c>
      <c r="H84" s="28">
        <v>35000</v>
      </c>
      <c r="I84" s="28">
        <v>165000</v>
      </c>
      <c r="J84" s="28">
        <f>35000-30000</f>
        <v>5000</v>
      </c>
      <c r="K84" s="28">
        <f>35000-30000</f>
        <v>5000</v>
      </c>
      <c r="L84" s="28">
        <f>35000-30000</f>
        <v>5000</v>
      </c>
      <c r="M84" s="28">
        <v>35000</v>
      </c>
      <c r="N84" s="28">
        <v>35000</v>
      </c>
      <c r="O84" s="28"/>
      <c r="P84" s="28"/>
      <c r="Q84" s="30"/>
    </row>
    <row r="85" spans="1:17" s="21" customFormat="1" x14ac:dyDescent="0.2">
      <c r="A85" s="54">
        <v>3411</v>
      </c>
      <c r="B85" s="200"/>
      <c r="C85" s="49" t="s">
        <v>97</v>
      </c>
      <c r="D85" s="61">
        <f t="shared" si="2"/>
        <v>5000</v>
      </c>
      <c r="E85" s="28"/>
      <c r="F85" s="28"/>
      <c r="G85" s="28">
        <v>5000</v>
      </c>
      <c r="H85" s="28"/>
      <c r="I85" s="28"/>
      <c r="J85" s="28"/>
      <c r="K85" s="28"/>
      <c r="L85" s="28"/>
      <c r="M85" s="28"/>
      <c r="N85" s="28"/>
      <c r="O85" s="28"/>
      <c r="P85" s="28"/>
      <c r="Q85" s="30"/>
    </row>
    <row r="86" spans="1:17" s="21" customFormat="1" x14ac:dyDescent="0.2">
      <c r="A86" s="54">
        <v>3451</v>
      </c>
      <c r="B86" s="200"/>
      <c r="C86" s="49" t="s">
        <v>98</v>
      </c>
      <c r="D86" s="61">
        <f t="shared" si="2"/>
        <v>279495.56</v>
      </c>
      <c r="E86" s="181">
        <f>350000-71602.54</f>
        <v>278397.46000000002</v>
      </c>
      <c r="F86" s="29"/>
      <c r="G86" s="29">
        <v>1098.0999999999999</v>
      </c>
      <c r="H86" s="29"/>
      <c r="I86" s="28"/>
      <c r="J86" s="29"/>
      <c r="K86" s="29"/>
      <c r="L86" s="29"/>
      <c r="M86" s="29"/>
      <c r="N86" s="28"/>
      <c r="O86" s="29"/>
      <c r="P86" s="29"/>
      <c r="Q86" s="30" t="s">
        <v>203</v>
      </c>
    </row>
    <row r="87" spans="1:17" s="21" customFormat="1" x14ac:dyDescent="0.2">
      <c r="A87" s="54">
        <v>3471</v>
      </c>
      <c r="B87" s="200"/>
      <c r="C87" s="49" t="s">
        <v>99</v>
      </c>
      <c r="D87" s="61">
        <f t="shared" si="2"/>
        <v>0</v>
      </c>
      <c r="E87" s="28"/>
      <c r="F87" s="29"/>
      <c r="G87" s="29"/>
      <c r="H87" s="29"/>
      <c r="I87" s="28"/>
      <c r="J87" s="29"/>
      <c r="K87" s="29"/>
      <c r="L87" s="29"/>
      <c r="M87" s="29"/>
      <c r="N87" s="28"/>
      <c r="O87" s="29"/>
      <c r="P87" s="29"/>
      <c r="Q87" s="30"/>
    </row>
    <row r="88" spans="1:17" s="21" customFormat="1" ht="24" x14ac:dyDescent="0.2">
      <c r="A88" s="54">
        <v>3511</v>
      </c>
      <c r="B88" s="200"/>
      <c r="C88" s="49" t="s">
        <v>100</v>
      </c>
      <c r="D88" s="61">
        <f t="shared" si="2"/>
        <v>20000</v>
      </c>
      <c r="E88" s="28"/>
      <c r="F88" s="29"/>
      <c r="G88" s="29">
        <v>10000</v>
      </c>
      <c r="H88" s="29"/>
      <c r="I88" s="28"/>
      <c r="J88" s="29"/>
      <c r="K88" s="29"/>
      <c r="L88" s="29"/>
      <c r="M88" s="28"/>
      <c r="N88" s="29">
        <v>10000</v>
      </c>
      <c r="O88" s="29"/>
      <c r="P88" s="29"/>
      <c r="Q88" s="30"/>
    </row>
    <row r="89" spans="1:17" s="34" customFormat="1" ht="36" x14ac:dyDescent="0.2">
      <c r="A89" s="54">
        <v>3531</v>
      </c>
      <c r="B89" s="200"/>
      <c r="C89" s="49" t="s">
        <v>101</v>
      </c>
      <c r="D89" s="61">
        <f t="shared" si="2"/>
        <v>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33"/>
    </row>
    <row r="90" spans="1:17" s="21" customFormat="1" ht="36" x14ac:dyDescent="0.2">
      <c r="A90" s="54">
        <v>3541</v>
      </c>
      <c r="B90" s="200"/>
      <c r="C90" s="49" t="s">
        <v>102</v>
      </c>
      <c r="D90" s="61">
        <f t="shared" si="2"/>
        <v>0</v>
      </c>
      <c r="E90" s="28"/>
      <c r="F90" s="28"/>
      <c r="G90" s="28"/>
      <c r="H90" s="29"/>
      <c r="I90" s="28"/>
      <c r="J90" s="29"/>
      <c r="K90" s="28"/>
      <c r="L90" s="29"/>
      <c r="M90" s="28"/>
      <c r="N90" s="29"/>
      <c r="O90" s="28"/>
      <c r="P90" s="29"/>
      <c r="Q90" s="30"/>
    </row>
    <row r="91" spans="1:17" s="21" customFormat="1" ht="24" x14ac:dyDescent="0.2">
      <c r="A91" s="54">
        <v>3551</v>
      </c>
      <c r="B91" s="200"/>
      <c r="C91" s="49" t="s">
        <v>103</v>
      </c>
      <c r="D91" s="61">
        <f t="shared" si="2"/>
        <v>0</v>
      </c>
      <c r="E91" s="28"/>
      <c r="F91" s="29"/>
      <c r="G91" s="29"/>
      <c r="H91" s="28"/>
      <c r="I91" s="29"/>
      <c r="J91" s="28"/>
      <c r="K91" s="29"/>
      <c r="L91" s="28"/>
      <c r="M91" s="29"/>
      <c r="N91" s="28"/>
      <c r="O91" s="29"/>
      <c r="P91" s="28"/>
      <c r="Q91" s="30"/>
    </row>
    <row r="92" spans="1:17" s="21" customFormat="1" ht="24" x14ac:dyDescent="0.2">
      <c r="A92" s="54">
        <v>3571</v>
      </c>
      <c r="B92" s="200"/>
      <c r="C92" s="49" t="s">
        <v>104</v>
      </c>
      <c r="D92" s="61">
        <f t="shared" si="2"/>
        <v>15000</v>
      </c>
      <c r="E92" s="28"/>
      <c r="F92" s="29"/>
      <c r="G92" s="29"/>
      <c r="H92" s="29"/>
      <c r="I92" s="29">
        <v>15000</v>
      </c>
      <c r="J92" s="29"/>
      <c r="K92" s="29"/>
      <c r="L92" s="29"/>
      <c r="M92" s="29"/>
      <c r="N92" s="29"/>
      <c r="O92" s="29"/>
      <c r="P92" s="29"/>
      <c r="Q92" s="30"/>
    </row>
    <row r="93" spans="1:17" s="21" customFormat="1" ht="24" x14ac:dyDescent="0.2">
      <c r="A93" s="54">
        <v>3572</v>
      </c>
      <c r="B93" s="200"/>
      <c r="C93" s="49" t="s">
        <v>105</v>
      </c>
      <c r="D93" s="61">
        <f t="shared" ref="D93:D104" si="3">SUM(E93:P93)</f>
        <v>65000</v>
      </c>
      <c r="E93" s="28"/>
      <c r="F93" s="29"/>
      <c r="G93" s="29">
        <v>7500</v>
      </c>
      <c r="H93" s="117">
        <f>50000-30000</f>
        <v>20000</v>
      </c>
      <c r="I93" s="29"/>
      <c r="J93" s="29"/>
      <c r="K93" s="29"/>
      <c r="L93" s="29">
        <v>7500</v>
      </c>
      <c r="M93" s="29">
        <v>30000</v>
      </c>
      <c r="N93" s="29"/>
      <c r="O93" s="29"/>
      <c r="P93" s="29"/>
      <c r="Q93" s="30"/>
    </row>
    <row r="94" spans="1:17" s="21" customFormat="1" x14ac:dyDescent="0.2">
      <c r="A94" s="54">
        <v>3581</v>
      </c>
      <c r="B94" s="200"/>
      <c r="C94" s="49" t="s">
        <v>106</v>
      </c>
      <c r="D94" s="61">
        <f t="shared" si="3"/>
        <v>10000</v>
      </c>
      <c r="E94" s="28"/>
      <c r="F94" s="29"/>
      <c r="G94" s="29"/>
      <c r="H94" s="29"/>
      <c r="I94" s="28">
        <v>10000</v>
      </c>
      <c r="J94" s="29"/>
      <c r="K94" s="29"/>
      <c r="L94" s="29"/>
      <c r="M94" s="28"/>
      <c r="N94" s="29"/>
      <c r="O94" s="29"/>
      <c r="P94" s="29"/>
      <c r="Q94" s="30"/>
    </row>
    <row r="95" spans="1:17" s="21" customFormat="1" x14ac:dyDescent="0.2">
      <c r="A95" s="54">
        <v>3591</v>
      </c>
      <c r="B95" s="200"/>
      <c r="C95" s="49" t="s">
        <v>107</v>
      </c>
      <c r="D95" s="61">
        <f t="shared" si="3"/>
        <v>0</v>
      </c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</row>
    <row r="96" spans="1:17" s="21" customFormat="1" ht="40.5" customHeight="1" x14ac:dyDescent="0.2">
      <c r="A96" s="54">
        <v>3621</v>
      </c>
      <c r="B96" s="200"/>
      <c r="C96" s="49" t="s">
        <v>108</v>
      </c>
      <c r="D96" s="61">
        <f t="shared" si="3"/>
        <v>50000</v>
      </c>
      <c r="E96" s="28"/>
      <c r="F96" s="28"/>
      <c r="G96" s="28">
        <v>50000</v>
      </c>
      <c r="H96" s="29"/>
      <c r="I96" s="29"/>
      <c r="J96" s="29"/>
      <c r="K96" s="29"/>
      <c r="L96" s="29"/>
      <c r="M96" s="29"/>
      <c r="N96" s="29"/>
      <c r="O96" s="29"/>
      <c r="P96" s="29"/>
      <c r="Q96" s="30"/>
    </row>
    <row r="97" spans="1:18" s="21" customFormat="1" ht="18.75" customHeight="1" x14ac:dyDescent="0.2">
      <c r="A97" s="54">
        <v>3711</v>
      </c>
      <c r="B97" s="200"/>
      <c r="C97" s="49" t="s">
        <v>109</v>
      </c>
      <c r="D97" s="61">
        <f t="shared" si="3"/>
        <v>20000</v>
      </c>
      <c r="E97" s="28"/>
      <c r="F97" s="29"/>
      <c r="G97" s="29">
        <v>20000</v>
      </c>
      <c r="H97" s="28"/>
      <c r="I97" s="29"/>
      <c r="J97" s="29"/>
      <c r="K97" s="28"/>
      <c r="L97" s="28"/>
      <c r="M97" s="29"/>
      <c r="N97" s="28"/>
      <c r="O97" s="29"/>
      <c r="P97" s="29"/>
      <c r="Q97" s="30"/>
    </row>
    <row r="98" spans="1:18" s="34" customFormat="1" ht="17.25" customHeight="1" x14ac:dyDescent="0.2">
      <c r="A98" s="54">
        <v>3721</v>
      </c>
      <c r="B98" s="200"/>
      <c r="C98" s="49" t="s">
        <v>110</v>
      </c>
      <c r="D98" s="61">
        <f t="shared" si="3"/>
        <v>15000</v>
      </c>
      <c r="E98" s="28"/>
      <c r="F98" s="28"/>
      <c r="G98" s="28">
        <v>15000</v>
      </c>
      <c r="H98" s="28"/>
      <c r="I98" s="28"/>
      <c r="J98" s="28"/>
      <c r="K98" s="28"/>
      <c r="L98" s="28"/>
      <c r="M98" s="28"/>
      <c r="N98" s="28"/>
      <c r="O98" s="28"/>
      <c r="P98" s="28"/>
      <c r="Q98" s="33"/>
    </row>
    <row r="99" spans="1:18" s="34" customFormat="1" x14ac:dyDescent="0.2">
      <c r="A99" s="54">
        <v>3751</v>
      </c>
      <c r="B99" s="200"/>
      <c r="C99" s="49" t="s">
        <v>111</v>
      </c>
      <c r="D99" s="61">
        <f t="shared" si="3"/>
        <v>80000</v>
      </c>
      <c r="E99" s="28"/>
      <c r="F99" s="28"/>
      <c r="G99" s="28">
        <v>80000</v>
      </c>
      <c r="H99" s="28"/>
      <c r="I99" s="28"/>
      <c r="J99" s="28"/>
      <c r="K99" s="28"/>
      <c r="L99" s="28"/>
      <c r="M99" s="28"/>
      <c r="N99" s="28"/>
      <c r="O99" s="28"/>
      <c r="P99" s="28"/>
      <c r="Q99" s="33"/>
    </row>
    <row r="100" spans="1:18" s="34" customFormat="1" x14ac:dyDescent="0.2">
      <c r="A100" s="54">
        <v>3791</v>
      </c>
      <c r="B100" s="200"/>
      <c r="C100" s="49" t="s">
        <v>112</v>
      </c>
      <c r="D100" s="61">
        <f t="shared" si="3"/>
        <v>60000</v>
      </c>
      <c r="E100" s="28"/>
      <c r="F100" s="28"/>
      <c r="G100" s="28">
        <v>20000</v>
      </c>
      <c r="H100" s="28"/>
      <c r="I100" s="28"/>
      <c r="J100" s="28"/>
      <c r="K100" s="28"/>
      <c r="L100" s="28"/>
      <c r="M100" s="28"/>
      <c r="N100" s="28">
        <v>40000</v>
      </c>
      <c r="O100" s="28"/>
      <c r="P100" s="28"/>
      <c r="Q100" s="33"/>
    </row>
    <row r="101" spans="1:18" s="34" customFormat="1" x14ac:dyDescent="0.2">
      <c r="A101" s="54">
        <v>3821</v>
      </c>
      <c r="B101" s="200"/>
      <c r="C101" s="49" t="s">
        <v>113</v>
      </c>
      <c r="D101" s="61">
        <f t="shared" si="3"/>
        <v>55000</v>
      </c>
      <c r="E101" s="28"/>
      <c r="F101" s="28"/>
      <c r="G101" s="28">
        <v>35000</v>
      </c>
      <c r="H101" s="28"/>
      <c r="I101" s="28">
        <v>20000</v>
      </c>
      <c r="J101" s="28"/>
      <c r="K101" s="28"/>
      <c r="L101" s="28"/>
      <c r="M101" s="28"/>
      <c r="N101" s="28"/>
      <c r="O101" s="28"/>
      <c r="P101" s="28"/>
      <c r="Q101" s="33"/>
    </row>
    <row r="102" spans="1:18" s="34" customFormat="1" x14ac:dyDescent="0.2">
      <c r="A102" s="54">
        <v>3822</v>
      </c>
      <c r="B102" s="200"/>
      <c r="C102" s="49" t="s">
        <v>114</v>
      </c>
      <c r="D102" s="61">
        <f t="shared" si="3"/>
        <v>94069.739999999991</v>
      </c>
      <c r="E102" s="28"/>
      <c r="F102" s="28"/>
      <c r="G102" s="28">
        <v>34069.74</v>
      </c>
      <c r="H102" s="28"/>
      <c r="I102" s="28">
        <v>20000</v>
      </c>
      <c r="J102" s="28"/>
      <c r="K102" s="28"/>
      <c r="L102" s="28"/>
      <c r="M102" s="28"/>
      <c r="N102" s="28">
        <v>40000</v>
      </c>
      <c r="O102" s="28"/>
      <c r="P102" s="28"/>
      <c r="Q102" s="33"/>
    </row>
    <row r="103" spans="1:18" s="34" customFormat="1" x14ac:dyDescent="0.2">
      <c r="A103" s="54">
        <v>3792</v>
      </c>
      <c r="B103" s="200"/>
      <c r="C103" s="49" t="s">
        <v>115</v>
      </c>
      <c r="D103" s="61">
        <f t="shared" si="3"/>
        <v>35000</v>
      </c>
      <c r="E103" s="28"/>
      <c r="F103" s="28"/>
      <c r="G103" s="28">
        <v>35000</v>
      </c>
      <c r="H103" s="28"/>
      <c r="I103" s="28"/>
      <c r="J103" s="28"/>
      <c r="K103" s="28"/>
      <c r="L103" s="28"/>
      <c r="M103" s="28"/>
      <c r="N103" s="28"/>
      <c r="O103" s="28"/>
      <c r="P103" s="28"/>
      <c r="Q103" s="33"/>
    </row>
    <row r="104" spans="1:18" s="34" customFormat="1" x14ac:dyDescent="0.2">
      <c r="A104" s="54">
        <v>3921</v>
      </c>
      <c r="B104" s="200"/>
      <c r="C104" s="49" t="s">
        <v>116</v>
      </c>
      <c r="D104" s="61">
        <f t="shared" si="3"/>
        <v>30018</v>
      </c>
      <c r="E104" s="48"/>
      <c r="F104" s="48"/>
      <c r="G104" s="48">
        <v>10018</v>
      </c>
      <c r="H104" s="48"/>
      <c r="I104" s="48"/>
      <c r="J104" s="48"/>
      <c r="K104" s="48">
        <v>20000</v>
      </c>
      <c r="L104" s="48"/>
      <c r="M104" s="48"/>
      <c r="N104" s="48"/>
      <c r="O104" s="48"/>
      <c r="P104" s="48"/>
      <c r="Q104" s="33"/>
    </row>
    <row r="105" spans="1:18" s="11" customFormat="1" ht="25.5" x14ac:dyDescent="0.2">
      <c r="A105" s="22"/>
      <c r="B105" s="201"/>
      <c r="C105" s="62" t="s">
        <v>18</v>
      </c>
      <c r="D105" s="65">
        <f t="shared" ref="D105:P105" si="4">SUM(D68:D104)</f>
        <v>1620126.35</v>
      </c>
      <c r="E105" s="24">
        <f t="shared" si="4"/>
        <v>334397.46000000002</v>
      </c>
      <c r="F105" s="24">
        <f t="shared" si="4"/>
        <v>42463.05</v>
      </c>
      <c r="G105" s="24">
        <f t="shared" si="4"/>
        <v>513685.83999999997</v>
      </c>
      <c r="H105" s="24">
        <f t="shared" si="4"/>
        <v>56000</v>
      </c>
      <c r="I105" s="24">
        <f t="shared" si="4"/>
        <v>231000</v>
      </c>
      <c r="J105" s="24">
        <f t="shared" si="4"/>
        <v>6000</v>
      </c>
      <c r="K105" s="24">
        <f t="shared" si="4"/>
        <v>55180</v>
      </c>
      <c r="L105" s="24">
        <f t="shared" si="4"/>
        <v>42680</v>
      </c>
      <c r="M105" s="24">
        <f t="shared" si="4"/>
        <v>95180</v>
      </c>
      <c r="N105" s="24">
        <f>SUM(N68:N104)</f>
        <v>185180</v>
      </c>
      <c r="O105" s="24">
        <f t="shared" si="4"/>
        <v>29180</v>
      </c>
      <c r="P105" s="24">
        <f t="shared" si="4"/>
        <v>29180</v>
      </c>
      <c r="Q105" s="30"/>
      <c r="R105" s="26"/>
    </row>
    <row r="106" spans="1:18" ht="30" customHeight="1" x14ac:dyDescent="0.2">
      <c r="A106" s="68">
        <v>4419</v>
      </c>
      <c r="B106" s="203"/>
      <c r="C106" s="68" t="s">
        <v>122</v>
      </c>
      <c r="D106" s="36">
        <f t="shared" ref="D106:D119" si="5">SUM(E106:P106)</f>
        <v>0</v>
      </c>
      <c r="E106" s="125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6">SUM(D106:D106)</f>
        <v>0</v>
      </c>
      <c r="E107" s="126">
        <f t="shared" si="6"/>
        <v>0</v>
      </c>
      <c r="F107" s="39">
        <f t="shared" si="6"/>
        <v>0</v>
      </c>
      <c r="G107" s="39">
        <f t="shared" si="6"/>
        <v>0</v>
      </c>
      <c r="H107" s="39">
        <f t="shared" si="6"/>
        <v>0</v>
      </c>
      <c r="I107" s="39">
        <f t="shared" si="6"/>
        <v>0</v>
      </c>
      <c r="J107" s="39">
        <f t="shared" si="6"/>
        <v>0</v>
      </c>
      <c r="K107" s="39">
        <f t="shared" si="6"/>
        <v>0</v>
      </c>
      <c r="L107" s="39">
        <f t="shared" si="6"/>
        <v>0</v>
      </c>
      <c r="M107" s="39">
        <f t="shared" si="6"/>
        <v>0</v>
      </c>
      <c r="N107" s="39">
        <f t="shared" si="6"/>
        <v>0</v>
      </c>
      <c r="O107" s="39">
        <f t="shared" si="6"/>
        <v>0</v>
      </c>
      <c r="P107" s="39">
        <f t="shared" si="6"/>
        <v>0</v>
      </c>
      <c r="Q107" s="25"/>
    </row>
    <row r="108" spans="1:18" ht="25.5" x14ac:dyDescent="0.2">
      <c r="A108" s="35">
        <v>5151</v>
      </c>
      <c r="B108" s="204"/>
      <c r="C108" s="40" t="s">
        <v>144</v>
      </c>
      <c r="D108" s="390">
        <f>SUM(E108:P108)</f>
        <v>235000</v>
      </c>
      <c r="E108" s="37"/>
      <c r="F108" s="125">
        <v>45000</v>
      </c>
      <c r="G108" s="125">
        <v>30000</v>
      </c>
      <c r="H108" s="125">
        <v>150000</v>
      </c>
      <c r="I108" s="125">
        <f>40000-30000</f>
        <v>10000</v>
      </c>
      <c r="J108" s="37"/>
      <c r="K108" s="37"/>
      <c r="L108" s="37"/>
      <c r="M108" s="37"/>
      <c r="N108" s="37"/>
      <c r="O108" s="37"/>
      <c r="P108" s="37"/>
      <c r="Q108" s="38"/>
    </row>
    <row r="109" spans="1:18" x14ac:dyDescent="0.2">
      <c r="A109" s="35">
        <v>5611</v>
      </c>
      <c r="B109" s="204"/>
      <c r="C109" s="60" t="s">
        <v>146</v>
      </c>
      <c r="D109" s="390">
        <f>SUM(E109:P109)</f>
        <v>425495.84</v>
      </c>
      <c r="E109" s="37"/>
      <c r="F109" s="37">
        <v>15000</v>
      </c>
      <c r="G109" s="125">
        <v>25000</v>
      </c>
      <c r="H109" s="125">
        <f>384958.89-16463.05+17000</f>
        <v>385495.84</v>
      </c>
      <c r="I109" s="37"/>
      <c r="J109" s="37"/>
      <c r="K109" s="37"/>
      <c r="L109" s="37"/>
      <c r="M109" s="37"/>
      <c r="N109" s="37"/>
      <c r="O109" s="37"/>
      <c r="P109" s="37"/>
      <c r="Q109" s="38"/>
    </row>
    <row r="110" spans="1:18" x14ac:dyDescent="0.2">
      <c r="A110" s="35">
        <v>5621</v>
      </c>
      <c r="B110" s="204"/>
      <c r="C110" s="60" t="s">
        <v>149</v>
      </c>
      <c r="D110" s="390">
        <f>SUM(E110:P110)</f>
        <v>600000</v>
      </c>
      <c r="E110" s="37"/>
      <c r="F110" s="125">
        <v>200000</v>
      </c>
      <c r="G110" s="125">
        <v>200000</v>
      </c>
      <c r="H110" s="125">
        <v>200000</v>
      </c>
      <c r="I110" s="37"/>
      <c r="J110" s="37"/>
      <c r="K110" s="37"/>
      <c r="L110" s="37"/>
      <c r="M110" s="37"/>
      <c r="N110" s="37"/>
      <c r="O110" s="37"/>
      <c r="P110" s="37"/>
      <c r="Q110" s="38"/>
    </row>
    <row r="111" spans="1:18" x14ac:dyDescent="0.2">
      <c r="A111" s="35">
        <v>5911</v>
      </c>
      <c r="B111" s="204"/>
      <c r="C111" s="60" t="s">
        <v>145</v>
      </c>
      <c r="D111" s="390">
        <f t="shared" ref="D111" si="7">SUM(E111:P111)</f>
        <v>227736.84</v>
      </c>
      <c r="E111" s="37"/>
      <c r="F111" s="183">
        <f>200000-37000-33000</f>
        <v>130000</v>
      </c>
      <c r="G111" s="182">
        <v>0</v>
      </c>
      <c r="H111" s="183"/>
      <c r="I111" s="183">
        <v>97736.84</v>
      </c>
      <c r="J111" s="71"/>
      <c r="K111" s="71"/>
      <c r="L111" s="71"/>
      <c r="M111" s="206">
        <v>0</v>
      </c>
      <c r="N111" s="37"/>
      <c r="O111" s="37"/>
      <c r="P111" s="37"/>
      <c r="Q111" s="38" t="s">
        <v>202</v>
      </c>
    </row>
    <row r="112" spans="1:18" s="11" customFormat="1" ht="25.5" x14ac:dyDescent="0.2">
      <c r="A112" s="22"/>
      <c r="B112" s="201"/>
      <c r="C112" s="62" t="s">
        <v>118</v>
      </c>
      <c r="D112" s="23">
        <f>SUM(D108:D111)</f>
        <v>1488232.6800000002</v>
      </c>
      <c r="E112" s="126">
        <f t="shared" ref="E112:P112" si="8">SUM(E108:E111)</f>
        <v>0</v>
      </c>
      <c r="F112" s="126">
        <f t="shared" si="8"/>
        <v>390000</v>
      </c>
      <c r="G112" s="126">
        <f t="shared" si="8"/>
        <v>255000</v>
      </c>
      <c r="H112" s="126">
        <f t="shared" si="8"/>
        <v>735495.84000000008</v>
      </c>
      <c r="I112" s="126">
        <f t="shared" si="8"/>
        <v>107736.84</v>
      </c>
      <c r="J112" s="126">
        <f t="shared" si="8"/>
        <v>0</v>
      </c>
      <c r="K112" s="126">
        <f t="shared" si="8"/>
        <v>0</v>
      </c>
      <c r="L112" s="126">
        <f t="shared" si="8"/>
        <v>0</v>
      </c>
      <c r="M112" s="126">
        <f t="shared" si="8"/>
        <v>0</v>
      </c>
      <c r="N112" s="126">
        <f t="shared" si="8"/>
        <v>0</v>
      </c>
      <c r="O112" s="126">
        <f t="shared" si="8"/>
        <v>0</v>
      </c>
      <c r="P112" s="39">
        <f t="shared" si="8"/>
        <v>0</v>
      </c>
      <c r="Q112" s="25"/>
    </row>
    <row r="113" spans="1:18" x14ac:dyDescent="0.2">
      <c r="A113" s="35"/>
      <c r="B113" s="204"/>
      <c r="C113" s="40"/>
      <c r="D113" s="36"/>
      <c r="E113" s="37"/>
      <c r="F113" s="125"/>
      <c r="G113" s="125"/>
      <c r="H113" s="125"/>
      <c r="I113" s="125"/>
      <c r="J113" s="37"/>
      <c r="K113" s="37"/>
      <c r="L113" s="37"/>
      <c r="M113" s="37"/>
      <c r="N113" s="37"/>
      <c r="O113" s="37"/>
      <c r="P113" s="37"/>
      <c r="Q113" s="38"/>
    </row>
    <row r="114" spans="1:18" x14ac:dyDescent="0.2">
      <c r="A114" s="35"/>
      <c r="B114" s="204"/>
      <c r="C114" s="60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8"/>
    </row>
    <row r="115" spans="1:18" x14ac:dyDescent="0.2">
      <c r="A115" s="35"/>
      <c r="B115" s="204"/>
      <c r="C115" s="60"/>
      <c r="D115" s="36"/>
      <c r="E115" s="37"/>
      <c r="F115" s="125"/>
      <c r="H115" s="125"/>
      <c r="I115" s="125"/>
      <c r="J115" s="37"/>
      <c r="K115" s="37"/>
      <c r="L115" s="37"/>
      <c r="M115" s="125"/>
      <c r="N115" s="37"/>
      <c r="O115" s="37"/>
      <c r="P115" s="37"/>
      <c r="Q115" s="38"/>
    </row>
    <row r="116" spans="1:18" x14ac:dyDescent="0.2">
      <c r="A116" s="35"/>
      <c r="B116" s="204"/>
      <c r="C116" s="60"/>
      <c r="D116" s="36">
        <f t="shared" si="5"/>
        <v>0</v>
      </c>
      <c r="E116" s="37"/>
      <c r="F116" s="37"/>
      <c r="G116" s="37"/>
      <c r="H116" s="37"/>
      <c r="I116" s="37"/>
      <c r="J116" s="37"/>
      <c r="K116" s="37"/>
      <c r="L116" s="37"/>
      <c r="M116" s="125"/>
      <c r="N116" s="37"/>
      <c r="O116" s="37"/>
      <c r="P116" s="37"/>
      <c r="Q116" s="38"/>
    </row>
    <row r="117" spans="1:18" s="11" customFormat="1" ht="25.5" x14ac:dyDescent="0.2">
      <c r="A117" s="22"/>
      <c r="B117" s="201"/>
      <c r="C117" s="62" t="s">
        <v>119</v>
      </c>
      <c r="D117" s="23">
        <f>SUM(D113:D116)</f>
        <v>0</v>
      </c>
      <c r="E117" s="39">
        <f t="shared" ref="E117:P117" si="9">SUM(E115:E116)</f>
        <v>0</v>
      </c>
      <c r="F117" s="126">
        <f t="shared" si="9"/>
        <v>0</v>
      </c>
      <c r="G117" s="126">
        <f t="shared" si="9"/>
        <v>0</v>
      </c>
      <c r="H117" s="126">
        <f t="shared" si="9"/>
        <v>0</v>
      </c>
      <c r="I117" s="126">
        <f t="shared" si="9"/>
        <v>0</v>
      </c>
      <c r="J117" s="39">
        <f t="shared" si="9"/>
        <v>0</v>
      </c>
      <c r="K117" s="39">
        <f t="shared" si="9"/>
        <v>0</v>
      </c>
      <c r="L117" s="39">
        <f t="shared" si="9"/>
        <v>0</v>
      </c>
      <c r="M117" s="126">
        <f t="shared" si="9"/>
        <v>0</v>
      </c>
      <c r="N117" s="39">
        <f t="shared" si="9"/>
        <v>0</v>
      </c>
      <c r="O117" s="39">
        <f t="shared" si="9"/>
        <v>0</v>
      </c>
      <c r="P117" s="39">
        <f t="shared" si="9"/>
        <v>0</v>
      </c>
      <c r="Q117" s="25"/>
      <c r="R117" s="26"/>
    </row>
    <row r="118" spans="1:18" x14ac:dyDescent="0.2">
      <c r="A118" s="35"/>
      <c r="B118" s="204"/>
      <c r="C118" s="60"/>
      <c r="D118" s="36">
        <f t="shared" si="5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204"/>
      <c r="C119" s="60"/>
      <c r="D119" s="36">
        <f t="shared" si="5"/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01"/>
      <c r="C120" s="62" t="s">
        <v>120</v>
      </c>
      <c r="D120" s="23">
        <f t="shared" ref="D120:P120" si="10">SUM(D118:D119)</f>
        <v>0</v>
      </c>
      <c r="E120" s="39">
        <f t="shared" si="10"/>
        <v>0</v>
      </c>
      <c r="F120" s="39">
        <f t="shared" si="10"/>
        <v>0</v>
      </c>
      <c r="G120" s="39">
        <f t="shared" si="10"/>
        <v>0</v>
      </c>
      <c r="H120" s="39" t="s">
        <v>147</v>
      </c>
      <c r="I120" s="39">
        <f t="shared" si="10"/>
        <v>0</v>
      </c>
      <c r="J120" s="39">
        <f t="shared" si="10"/>
        <v>0</v>
      </c>
      <c r="K120" s="39">
        <f t="shared" si="10"/>
        <v>0</v>
      </c>
      <c r="L120" s="39">
        <f t="shared" si="10"/>
        <v>0</v>
      </c>
      <c r="M120" s="39">
        <f t="shared" si="10"/>
        <v>0</v>
      </c>
      <c r="N120" s="39">
        <f t="shared" si="10"/>
        <v>0</v>
      </c>
      <c r="O120" s="39">
        <f t="shared" si="10"/>
        <v>0</v>
      </c>
      <c r="P120" s="39">
        <f t="shared" si="10"/>
        <v>0</v>
      </c>
      <c r="Q120" s="25"/>
    </row>
    <row r="121" spans="1:18" s="11" customFormat="1" ht="17.25" customHeight="1" x14ac:dyDescent="0.2">
      <c r="A121" s="188"/>
      <c r="B121" s="205"/>
      <c r="C121" s="189" t="s">
        <v>19</v>
      </c>
      <c r="D121" s="190">
        <f t="shared" ref="D121:P121" si="11">SUM(D120,D117,D112,D107,D105,D67,D28)</f>
        <v>4566228.83</v>
      </c>
      <c r="E121" s="191">
        <f t="shared" si="11"/>
        <v>358706.16000000003</v>
      </c>
      <c r="F121" s="191">
        <f t="shared" si="11"/>
        <v>456771.75</v>
      </c>
      <c r="G121" s="191">
        <f t="shared" si="11"/>
        <v>792994.53999999992</v>
      </c>
      <c r="H121" s="191">
        <f t="shared" si="11"/>
        <v>801495.84000000008</v>
      </c>
      <c r="I121" s="191">
        <f t="shared" si="11"/>
        <v>338736.83999999997</v>
      </c>
      <c r="J121" s="191">
        <f t="shared" si="11"/>
        <v>6000</v>
      </c>
      <c r="K121" s="191">
        <f t="shared" si="11"/>
        <v>145085.10999999999</v>
      </c>
      <c r="L121" s="191">
        <f t="shared" si="11"/>
        <v>239736.3</v>
      </c>
      <c r="M121" s="191">
        <f t="shared" si="11"/>
        <v>185085.11</v>
      </c>
      <c r="N121" s="191">
        <f t="shared" si="11"/>
        <v>275085.11</v>
      </c>
      <c r="O121" s="191">
        <f t="shared" si="11"/>
        <v>119085.11</v>
      </c>
      <c r="P121" s="191">
        <f t="shared" si="11"/>
        <v>258435.69999999998</v>
      </c>
      <c r="Q121" s="192"/>
      <c r="R121" s="26"/>
    </row>
    <row r="124" spans="1:18" ht="48.75" customHeight="1" x14ac:dyDescent="0.2">
      <c r="C124" s="118" t="s">
        <v>129</v>
      </c>
      <c r="G124" s="1" t="s">
        <v>131</v>
      </c>
      <c r="L124" s="1" t="s">
        <v>133</v>
      </c>
    </row>
    <row r="125" spans="1:18" x14ac:dyDescent="0.2">
      <c r="C125" s="118" t="s">
        <v>130</v>
      </c>
      <c r="G125" s="1" t="s">
        <v>132</v>
      </c>
      <c r="L125" s="1" t="s">
        <v>134</v>
      </c>
    </row>
    <row r="131" spans="6:13" x14ac:dyDescent="0.2">
      <c r="G131" s="42"/>
    </row>
    <row r="132" spans="6:13" x14ac:dyDescent="0.2">
      <c r="G132" s="42"/>
    </row>
    <row r="134" spans="6:13" x14ac:dyDescent="0.2">
      <c r="G134" s="44"/>
    </row>
    <row r="135" spans="6:13" x14ac:dyDescent="0.2">
      <c r="G135" s="44"/>
      <c r="H135" s="44"/>
      <c r="I135" s="44"/>
    </row>
    <row r="139" spans="6:13" x14ac:dyDescent="0.2">
      <c r="F139" s="44"/>
    </row>
    <row r="141" spans="6:13" x14ac:dyDescent="0.2">
      <c r="I141" s="42"/>
      <c r="J141" s="45"/>
      <c r="K141" s="44"/>
      <c r="L141" s="44"/>
      <c r="M141" s="44"/>
    </row>
    <row r="142" spans="6:13" x14ac:dyDescent="0.2">
      <c r="I142" s="42"/>
      <c r="J142" s="45"/>
      <c r="K142" s="44"/>
      <c r="L142" s="44"/>
      <c r="M142" s="44"/>
    </row>
    <row r="143" spans="6:13" x14ac:dyDescent="0.2">
      <c r="I143" s="42"/>
      <c r="J143" s="45"/>
      <c r="K143" s="44"/>
      <c r="L143" s="44"/>
      <c r="M143" s="44"/>
    </row>
    <row r="144" spans="6:13" x14ac:dyDescent="0.2">
      <c r="I144" s="42"/>
      <c r="J144" s="45"/>
      <c r="K144" s="44"/>
      <c r="L144" s="44"/>
      <c r="M144" s="44"/>
    </row>
    <row r="145" spans="9:13" x14ac:dyDescent="0.2">
      <c r="I145" s="42"/>
      <c r="J145" s="45"/>
      <c r="K145" s="44"/>
      <c r="L145" s="44"/>
      <c r="M145" s="44"/>
    </row>
    <row r="146" spans="9:13" x14ac:dyDescent="0.2">
      <c r="I146" s="42"/>
      <c r="J146" s="45"/>
      <c r="K146" s="44"/>
      <c r="L146" s="44"/>
      <c r="M146" s="44"/>
    </row>
    <row r="147" spans="9:13" x14ac:dyDescent="0.2">
      <c r="I147" s="42"/>
      <c r="J147" s="45"/>
      <c r="K147" s="44"/>
      <c r="L147" s="44"/>
      <c r="M147" s="44"/>
    </row>
    <row r="148" spans="9:13" x14ac:dyDescent="0.2">
      <c r="I148" s="42"/>
      <c r="J148" s="45"/>
      <c r="K148" s="44"/>
      <c r="L148" s="44"/>
      <c r="M148" s="44"/>
    </row>
    <row r="149" spans="9:13" x14ac:dyDescent="0.2">
      <c r="I149" s="42"/>
      <c r="J149" s="45"/>
      <c r="K149" s="44"/>
      <c r="L149" s="44"/>
      <c r="M149" s="44"/>
    </row>
    <row r="150" spans="9:13" x14ac:dyDescent="0.2">
      <c r="I150" s="42"/>
      <c r="J150" s="45"/>
      <c r="K150" s="44"/>
      <c r="L150" s="44"/>
      <c r="M150" s="44"/>
    </row>
    <row r="151" spans="9:13" x14ac:dyDescent="0.2">
      <c r="I151" s="42"/>
      <c r="J151" s="45"/>
      <c r="K151" s="44"/>
      <c r="L151" s="44"/>
      <c r="M151" s="44"/>
    </row>
    <row r="152" spans="9:13" x14ac:dyDescent="0.2">
      <c r="I152" s="42"/>
      <c r="J152" s="45"/>
      <c r="K152" s="44"/>
      <c r="L152" s="44"/>
      <c r="M152" s="44"/>
    </row>
    <row r="153" spans="9:13" x14ac:dyDescent="0.2">
      <c r="I153" s="42"/>
      <c r="J153" s="45"/>
      <c r="K153" s="44"/>
      <c r="L153" s="44"/>
      <c r="M153" s="44"/>
    </row>
    <row r="154" spans="9:13" x14ac:dyDescent="0.2">
      <c r="I154" s="42"/>
      <c r="J154" s="45"/>
      <c r="K154" s="44"/>
      <c r="L154" s="44"/>
      <c r="M154" s="44"/>
    </row>
    <row r="157" spans="9:13" x14ac:dyDescent="0.2">
      <c r="I157" s="44"/>
      <c r="J157" s="45"/>
      <c r="K157" s="44"/>
      <c r="L157" s="44"/>
    </row>
  </sheetData>
  <mergeCells count="13">
    <mergeCell ref="R13:R27"/>
    <mergeCell ref="A107:C107"/>
    <mergeCell ref="M4:Q4"/>
    <mergeCell ref="M6:Q6"/>
    <mergeCell ref="M8:Q8"/>
    <mergeCell ref="A11:A12"/>
    <mergeCell ref="B11:B12"/>
    <mergeCell ref="C11:C12"/>
    <mergeCell ref="D11:D12"/>
    <mergeCell ref="E11:P11"/>
    <mergeCell ref="Q11:Q12"/>
    <mergeCell ref="C6:J8"/>
    <mergeCell ref="Q13:Q27"/>
  </mergeCells>
  <printOptions horizontalCentered="1"/>
  <pageMargins left="0.44" right="0.39370078740157483" top="0.31496062992125984" bottom="0.39370078740157483" header="0" footer="0"/>
  <pageSetup paperSize="5" scale="48" orientation="landscape" horizontalDpi="200" verticalDpi="200" r:id="rId1"/>
  <headerFooter alignWithMargins="0">
    <oddFooter>Página &amp;P de &amp;N</oddFooter>
  </headerFooter>
  <rowBreaks count="1" manualBreakCount="1">
    <brk id="65" max="16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57"/>
  <sheetViews>
    <sheetView showGridLines="0" view="pageBreakPreview" zoomScale="75" zoomScaleNormal="110" zoomScaleSheetLayoutView="75" workbookViewId="0">
      <selection activeCell="Q3" sqref="Q3"/>
    </sheetView>
  </sheetViews>
  <sheetFormatPr baseColWidth="10" defaultRowHeight="12.75" x14ac:dyDescent="0.2"/>
  <cols>
    <col min="1" max="1" width="6.140625" style="1" bestFit="1" customWidth="1"/>
    <col min="2" max="2" width="4.85546875" style="195" customWidth="1"/>
    <col min="3" max="3" width="37.7109375" style="57" customWidth="1"/>
    <col min="4" max="4" width="21.28515625" style="3" bestFit="1" customWidth="1"/>
    <col min="5" max="5" width="16.5703125" style="2" bestFit="1" customWidth="1"/>
    <col min="6" max="6" width="14.140625" style="2" customWidth="1"/>
    <col min="7" max="7" width="16.42578125" style="2" customWidth="1"/>
    <col min="8" max="8" width="18.5703125" style="2" customWidth="1"/>
    <col min="9" max="10" width="13.28515625" style="2" customWidth="1"/>
    <col min="11" max="15" width="13.42578125" style="2" customWidth="1"/>
    <col min="16" max="16" width="14.5703125" style="2" customWidth="1"/>
    <col min="17" max="17" width="42" style="43" customWidth="1"/>
    <col min="18" max="18" width="27.42578125" style="2" customWidth="1"/>
    <col min="19" max="19" width="11.42578125" style="2"/>
    <col min="20" max="20" width="14.140625" style="2" bestFit="1" customWidth="1"/>
    <col min="21" max="256" width="11.42578125" style="2"/>
    <col min="257" max="257" width="9.7109375" style="2" customWidth="1"/>
    <col min="258" max="258" width="6" style="2" customWidth="1"/>
    <col min="259" max="259" width="60.5703125" style="2" customWidth="1"/>
    <col min="260" max="260" width="15.5703125" style="2" customWidth="1"/>
    <col min="261" max="272" width="13.28515625" style="2" customWidth="1"/>
    <col min="273" max="512" width="11.42578125" style="2"/>
    <col min="513" max="513" width="9.7109375" style="2" customWidth="1"/>
    <col min="514" max="514" width="6" style="2" customWidth="1"/>
    <col min="515" max="515" width="60.5703125" style="2" customWidth="1"/>
    <col min="516" max="516" width="15.5703125" style="2" customWidth="1"/>
    <col min="517" max="528" width="13.28515625" style="2" customWidth="1"/>
    <col min="529" max="768" width="11.42578125" style="2"/>
    <col min="769" max="769" width="9.7109375" style="2" customWidth="1"/>
    <col min="770" max="770" width="6" style="2" customWidth="1"/>
    <col min="771" max="771" width="60.5703125" style="2" customWidth="1"/>
    <col min="772" max="772" width="15.5703125" style="2" customWidth="1"/>
    <col min="773" max="784" width="13.28515625" style="2" customWidth="1"/>
    <col min="785" max="1024" width="11.42578125" style="2"/>
    <col min="1025" max="1025" width="9.7109375" style="2" customWidth="1"/>
    <col min="1026" max="1026" width="6" style="2" customWidth="1"/>
    <col min="1027" max="1027" width="60.5703125" style="2" customWidth="1"/>
    <col min="1028" max="1028" width="15.5703125" style="2" customWidth="1"/>
    <col min="1029" max="1040" width="13.28515625" style="2" customWidth="1"/>
    <col min="1041" max="1280" width="11.42578125" style="2"/>
    <col min="1281" max="1281" width="9.7109375" style="2" customWidth="1"/>
    <col min="1282" max="1282" width="6" style="2" customWidth="1"/>
    <col min="1283" max="1283" width="60.5703125" style="2" customWidth="1"/>
    <col min="1284" max="1284" width="15.5703125" style="2" customWidth="1"/>
    <col min="1285" max="1296" width="13.28515625" style="2" customWidth="1"/>
    <col min="1297" max="1536" width="11.42578125" style="2"/>
    <col min="1537" max="1537" width="9.7109375" style="2" customWidth="1"/>
    <col min="1538" max="1538" width="6" style="2" customWidth="1"/>
    <col min="1539" max="1539" width="60.5703125" style="2" customWidth="1"/>
    <col min="1540" max="1540" width="15.5703125" style="2" customWidth="1"/>
    <col min="1541" max="1552" width="13.28515625" style="2" customWidth="1"/>
    <col min="1553" max="1792" width="11.42578125" style="2"/>
    <col min="1793" max="1793" width="9.7109375" style="2" customWidth="1"/>
    <col min="1794" max="1794" width="6" style="2" customWidth="1"/>
    <col min="1795" max="1795" width="60.5703125" style="2" customWidth="1"/>
    <col min="1796" max="1796" width="15.5703125" style="2" customWidth="1"/>
    <col min="1797" max="1808" width="13.28515625" style="2" customWidth="1"/>
    <col min="1809" max="2048" width="11.42578125" style="2"/>
    <col min="2049" max="2049" width="9.7109375" style="2" customWidth="1"/>
    <col min="2050" max="2050" width="6" style="2" customWidth="1"/>
    <col min="2051" max="2051" width="60.5703125" style="2" customWidth="1"/>
    <col min="2052" max="2052" width="15.5703125" style="2" customWidth="1"/>
    <col min="2053" max="2064" width="13.28515625" style="2" customWidth="1"/>
    <col min="2065" max="2304" width="11.42578125" style="2"/>
    <col min="2305" max="2305" width="9.7109375" style="2" customWidth="1"/>
    <col min="2306" max="2306" width="6" style="2" customWidth="1"/>
    <col min="2307" max="2307" width="60.5703125" style="2" customWidth="1"/>
    <col min="2308" max="2308" width="15.5703125" style="2" customWidth="1"/>
    <col min="2309" max="2320" width="13.28515625" style="2" customWidth="1"/>
    <col min="2321" max="2560" width="11.42578125" style="2"/>
    <col min="2561" max="2561" width="9.7109375" style="2" customWidth="1"/>
    <col min="2562" max="2562" width="6" style="2" customWidth="1"/>
    <col min="2563" max="2563" width="60.5703125" style="2" customWidth="1"/>
    <col min="2564" max="2564" width="15.5703125" style="2" customWidth="1"/>
    <col min="2565" max="2576" width="13.28515625" style="2" customWidth="1"/>
    <col min="2577" max="2816" width="11.42578125" style="2"/>
    <col min="2817" max="2817" width="9.7109375" style="2" customWidth="1"/>
    <col min="2818" max="2818" width="6" style="2" customWidth="1"/>
    <col min="2819" max="2819" width="60.5703125" style="2" customWidth="1"/>
    <col min="2820" max="2820" width="15.5703125" style="2" customWidth="1"/>
    <col min="2821" max="2832" width="13.28515625" style="2" customWidth="1"/>
    <col min="2833" max="3072" width="11.42578125" style="2"/>
    <col min="3073" max="3073" width="9.7109375" style="2" customWidth="1"/>
    <col min="3074" max="3074" width="6" style="2" customWidth="1"/>
    <col min="3075" max="3075" width="60.5703125" style="2" customWidth="1"/>
    <col min="3076" max="3076" width="15.5703125" style="2" customWidth="1"/>
    <col min="3077" max="3088" width="13.28515625" style="2" customWidth="1"/>
    <col min="3089" max="3328" width="11.42578125" style="2"/>
    <col min="3329" max="3329" width="9.7109375" style="2" customWidth="1"/>
    <col min="3330" max="3330" width="6" style="2" customWidth="1"/>
    <col min="3331" max="3331" width="60.5703125" style="2" customWidth="1"/>
    <col min="3332" max="3332" width="15.5703125" style="2" customWidth="1"/>
    <col min="3333" max="3344" width="13.28515625" style="2" customWidth="1"/>
    <col min="3345" max="3584" width="11.42578125" style="2"/>
    <col min="3585" max="3585" width="9.7109375" style="2" customWidth="1"/>
    <col min="3586" max="3586" width="6" style="2" customWidth="1"/>
    <col min="3587" max="3587" width="60.5703125" style="2" customWidth="1"/>
    <col min="3588" max="3588" width="15.5703125" style="2" customWidth="1"/>
    <col min="3589" max="3600" width="13.28515625" style="2" customWidth="1"/>
    <col min="3601" max="3840" width="11.42578125" style="2"/>
    <col min="3841" max="3841" width="9.7109375" style="2" customWidth="1"/>
    <col min="3842" max="3842" width="6" style="2" customWidth="1"/>
    <col min="3843" max="3843" width="60.5703125" style="2" customWidth="1"/>
    <col min="3844" max="3844" width="15.5703125" style="2" customWidth="1"/>
    <col min="3845" max="3856" width="13.28515625" style="2" customWidth="1"/>
    <col min="3857" max="4096" width="11.42578125" style="2"/>
    <col min="4097" max="4097" width="9.7109375" style="2" customWidth="1"/>
    <col min="4098" max="4098" width="6" style="2" customWidth="1"/>
    <col min="4099" max="4099" width="60.5703125" style="2" customWidth="1"/>
    <col min="4100" max="4100" width="15.5703125" style="2" customWidth="1"/>
    <col min="4101" max="4112" width="13.28515625" style="2" customWidth="1"/>
    <col min="4113" max="4352" width="11.42578125" style="2"/>
    <col min="4353" max="4353" width="9.7109375" style="2" customWidth="1"/>
    <col min="4354" max="4354" width="6" style="2" customWidth="1"/>
    <col min="4355" max="4355" width="60.5703125" style="2" customWidth="1"/>
    <col min="4356" max="4356" width="15.5703125" style="2" customWidth="1"/>
    <col min="4357" max="4368" width="13.28515625" style="2" customWidth="1"/>
    <col min="4369" max="4608" width="11.42578125" style="2"/>
    <col min="4609" max="4609" width="9.7109375" style="2" customWidth="1"/>
    <col min="4610" max="4610" width="6" style="2" customWidth="1"/>
    <col min="4611" max="4611" width="60.5703125" style="2" customWidth="1"/>
    <col min="4612" max="4612" width="15.5703125" style="2" customWidth="1"/>
    <col min="4613" max="4624" width="13.28515625" style="2" customWidth="1"/>
    <col min="4625" max="4864" width="11.42578125" style="2"/>
    <col min="4865" max="4865" width="9.7109375" style="2" customWidth="1"/>
    <col min="4866" max="4866" width="6" style="2" customWidth="1"/>
    <col min="4867" max="4867" width="60.5703125" style="2" customWidth="1"/>
    <col min="4868" max="4868" width="15.5703125" style="2" customWidth="1"/>
    <col min="4869" max="4880" width="13.28515625" style="2" customWidth="1"/>
    <col min="4881" max="5120" width="11.42578125" style="2"/>
    <col min="5121" max="5121" width="9.7109375" style="2" customWidth="1"/>
    <col min="5122" max="5122" width="6" style="2" customWidth="1"/>
    <col min="5123" max="5123" width="60.5703125" style="2" customWidth="1"/>
    <col min="5124" max="5124" width="15.5703125" style="2" customWidth="1"/>
    <col min="5125" max="5136" width="13.28515625" style="2" customWidth="1"/>
    <col min="5137" max="5376" width="11.42578125" style="2"/>
    <col min="5377" max="5377" width="9.7109375" style="2" customWidth="1"/>
    <col min="5378" max="5378" width="6" style="2" customWidth="1"/>
    <col min="5379" max="5379" width="60.5703125" style="2" customWidth="1"/>
    <col min="5380" max="5380" width="15.5703125" style="2" customWidth="1"/>
    <col min="5381" max="5392" width="13.28515625" style="2" customWidth="1"/>
    <col min="5393" max="5632" width="11.42578125" style="2"/>
    <col min="5633" max="5633" width="9.7109375" style="2" customWidth="1"/>
    <col min="5634" max="5634" width="6" style="2" customWidth="1"/>
    <col min="5635" max="5635" width="60.5703125" style="2" customWidth="1"/>
    <col min="5636" max="5636" width="15.5703125" style="2" customWidth="1"/>
    <col min="5637" max="5648" width="13.28515625" style="2" customWidth="1"/>
    <col min="5649" max="5888" width="11.42578125" style="2"/>
    <col min="5889" max="5889" width="9.7109375" style="2" customWidth="1"/>
    <col min="5890" max="5890" width="6" style="2" customWidth="1"/>
    <col min="5891" max="5891" width="60.5703125" style="2" customWidth="1"/>
    <col min="5892" max="5892" width="15.5703125" style="2" customWidth="1"/>
    <col min="5893" max="5904" width="13.28515625" style="2" customWidth="1"/>
    <col min="5905" max="6144" width="11.42578125" style="2"/>
    <col min="6145" max="6145" width="9.7109375" style="2" customWidth="1"/>
    <col min="6146" max="6146" width="6" style="2" customWidth="1"/>
    <col min="6147" max="6147" width="60.5703125" style="2" customWidth="1"/>
    <col min="6148" max="6148" width="15.5703125" style="2" customWidth="1"/>
    <col min="6149" max="6160" width="13.28515625" style="2" customWidth="1"/>
    <col min="6161" max="6400" width="11.42578125" style="2"/>
    <col min="6401" max="6401" width="9.7109375" style="2" customWidth="1"/>
    <col min="6402" max="6402" width="6" style="2" customWidth="1"/>
    <col min="6403" max="6403" width="60.5703125" style="2" customWidth="1"/>
    <col min="6404" max="6404" width="15.5703125" style="2" customWidth="1"/>
    <col min="6405" max="6416" width="13.28515625" style="2" customWidth="1"/>
    <col min="6417" max="6656" width="11.42578125" style="2"/>
    <col min="6657" max="6657" width="9.7109375" style="2" customWidth="1"/>
    <col min="6658" max="6658" width="6" style="2" customWidth="1"/>
    <col min="6659" max="6659" width="60.5703125" style="2" customWidth="1"/>
    <col min="6660" max="6660" width="15.5703125" style="2" customWidth="1"/>
    <col min="6661" max="6672" width="13.28515625" style="2" customWidth="1"/>
    <col min="6673" max="6912" width="11.42578125" style="2"/>
    <col min="6913" max="6913" width="9.7109375" style="2" customWidth="1"/>
    <col min="6914" max="6914" width="6" style="2" customWidth="1"/>
    <col min="6915" max="6915" width="60.5703125" style="2" customWidth="1"/>
    <col min="6916" max="6916" width="15.5703125" style="2" customWidth="1"/>
    <col min="6917" max="6928" width="13.28515625" style="2" customWidth="1"/>
    <col min="6929" max="7168" width="11.42578125" style="2"/>
    <col min="7169" max="7169" width="9.7109375" style="2" customWidth="1"/>
    <col min="7170" max="7170" width="6" style="2" customWidth="1"/>
    <col min="7171" max="7171" width="60.5703125" style="2" customWidth="1"/>
    <col min="7172" max="7172" width="15.5703125" style="2" customWidth="1"/>
    <col min="7173" max="7184" width="13.28515625" style="2" customWidth="1"/>
    <col min="7185" max="7424" width="11.42578125" style="2"/>
    <col min="7425" max="7425" width="9.7109375" style="2" customWidth="1"/>
    <col min="7426" max="7426" width="6" style="2" customWidth="1"/>
    <col min="7427" max="7427" width="60.5703125" style="2" customWidth="1"/>
    <col min="7428" max="7428" width="15.5703125" style="2" customWidth="1"/>
    <col min="7429" max="7440" width="13.28515625" style="2" customWidth="1"/>
    <col min="7441" max="7680" width="11.42578125" style="2"/>
    <col min="7681" max="7681" width="9.7109375" style="2" customWidth="1"/>
    <col min="7682" max="7682" width="6" style="2" customWidth="1"/>
    <col min="7683" max="7683" width="60.5703125" style="2" customWidth="1"/>
    <col min="7684" max="7684" width="15.5703125" style="2" customWidth="1"/>
    <col min="7685" max="7696" width="13.28515625" style="2" customWidth="1"/>
    <col min="7697" max="7936" width="11.42578125" style="2"/>
    <col min="7937" max="7937" width="9.7109375" style="2" customWidth="1"/>
    <col min="7938" max="7938" width="6" style="2" customWidth="1"/>
    <col min="7939" max="7939" width="60.5703125" style="2" customWidth="1"/>
    <col min="7940" max="7940" width="15.5703125" style="2" customWidth="1"/>
    <col min="7941" max="7952" width="13.28515625" style="2" customWidth="1"/>
    <col min="7953" max="8192" width="11.42578125" style="2"/>
    <col min="8193" max="8193" width="9.7109375" style="2" customWidth="1"/>
    <col min="8194" max="8194" width="6" style="2" customWidth="1"/>
    <col min="8195" max="8195" width="60.5703125" style="2" customWidth="1"/>
    <col min="8196" max="8196" width="15.5703125" style="2" customWidth="1"/>
    <col min="8197" max="8208" width="13.28515625" style="2" customWidth="1"/>
    <col min="8209" max="8448" width="11.42578125" style="2"/>
    <col min="8449" max="8449" width="9.7109375" style="2" customWidth="1"/>
    <col min="8450" max="8450" width="6" style="2" customWidth="1"/>
    <col min="8451" max="8451" width="60.5703125" style="2" customWidth="1"/>
    <col min="8452" max="8452" width="15.5703125" style="2" customWidth="1"/>
    <col min="8453" max="8464" width="13.28515625" style="2" customWidth="1"/>
    <col min="8465" max="8704" width="11.42578125" style="2"/>
    <col min="8705" max="8705" width="9.7109375" style="2" customWidth="1"/>
    <col min="8706" max="8706" width="6" style="2" customWidth="1"/>
    <col min="8707" max="8707" width="60.5703125" style="2" customWidth="1"/>
    <col min="8708" max="8708" width="15.5703125" style="2" customWidth="1"/>
    <col min="8709" max="8720" width="13.28515625" style="2" customWidth="1"/>
    <col min="8721" max="8960" width="11.42578125" style="2"/>
    <col min="8961" max="8961" width="9.7109375" style="2" customWidth="1"/>
    <col min="8962" max="8962" width="6" style="2" customWidth="1"/>
    <col min="8963" max="8963" width="60.5703125" style="2" customWidth="1"/>
    <col min="8964" max="8964" width="15.5703125" style="2" customWidth="1"/>
    <col min="8965" max="8976" width="13.28515625" style="2" customWidth="1"/>
    <col min="8977" max="9216" width="11.42578125" style="2"/>
    <col min="9217" max="9217" width="9.7109375" style="2" customWidth="1"/>
    <col min="9218" max="9218" width="6" style="2" customWidth="1"/>
    <col min="9219" max="9219" width="60.5703125" style="2" customWidth="1"/>
    <col min="9220" max="9220" width="15.5703125" style="2" customWidth="1"/>
    <col min="9221" max="9232" width="13.28515625" style="2" customWidth="1"/>
    <col min="9233" max="9472" width="11.42578125" style="2"/>
    <col min="9473" max="9473" width="9.7109375" style="2" customWidth="1"/>
    <col min="9474" max="9474" width="6" style="2" customWidth="1"/>
    <col min="9475" max="9475" width="60.5703125" style="2" customWidth="1"/>
    <col min="9476" max="9476" width="15.5703125" style="2" customWidth="1"/>
    <col min="9477" max="9488" width="13.28515625" style="2" customWidth="1"/>
    <col min="9489" max="9728" width="11.42578125" style="2"/>
    <col min="9729" max="9729" width="9.7109375" style="2" customWidth="1"/>
    <col min="9730" max="9730" width="6" style="2" customWidth="1"/>
    <col min="9731" max="9731" width="60.5703125" style="2" customWidth="1"/>
    <col min="9732" max="9732" width="15.5703125" style="2" customWidth="1"/>
    <col min="9733" max="9744" width="13.28515625" style="2" customWidth="1"/>
    <col min="9745" max="9984" width="11.42578125" style="2"/>
    <col min="9985" max="9985" width="9.7109375" style="2" customWidth="1"/>
    <col min="9986" max="9986" width="6" style="2" customWidth="1"/>
    <col min="9987" max="9987" width="60.5703125" style="2" customWidth="1"/>
    <col min="9988" max="9988" width="15.5703125" style="2" customWidth="1"/>
    <col min="9989" max="10000" width="13.28515625" style="2" customWidth="1"/>
    <col min="10001" max="10240" width="11.42578125" style="2"/>
    <col min="10241" max="10241" width="9.7109375" style="2" customWidth="1"/>
    <col min="10242" max="10242" width="6" style="2" customWidth="1"/>
    <col min="10243" max="10243" width="60.5703125" style="2" customWidth="1"/>
    <col min="10244" max="10244" width="15.5703125" style="2" customWidth="1"/>
    <col min="10245" max="10256" width="13.28515625" style="2" customWidth="1"/>
    <col min="10257" max="10496" width="11.42578125" style="2"/>
    <col min="10497" max="10497" width="9.7109375" style="2" customWidth="1"/>
    <col min="10498" max="10498" width="6" style="2" customWidth="1"/>
    <col min="10499" max="10499" width="60.5703125" style="2" customWidth="1"/>
    <col min="10500" max="10500" width="15.5703125" style="2" customWidth="1"/>
    <col min="10501" max="10512" width="13.28515625" style="2" customWidth="1"/>
    <col min="10513" max="10752" width="11.42578125" style="2"/>
    <col min="10753" max="10753" width="9.7109375" style="2" customWidth="1"/>
    <col min="10754" max="10754" width="6" style="2" customWidth="1"/>
    <col min="10755" max="10755" width="60.5703125" style="2" customWidth="1"/>
    <col min="10756" max="10756" width="15.5703125" style="2" customWidth="1"/>
    <col min="10757" max="10768" width="13.28515625" style="2" customWidth="1"/>
    <col min="10769" max="11008" width="11.42578125" style="2"/>
    <col min="11009" max="11009" width="9.7109375" style="2" customWidth="1"/>
    <col min="11010" max="11010" width="6" style="2" customWidth="1"/>
    <col min="11011" max="11011" width="60.5703125" style="2" customWidth="1"/>
    <col min="11012" max="11012" width="15.5703125" style="2" customWidth="1"/>
    <col min="11013" max="11024" width="13.28515625" style="2" customWidth="1"/>
    <col min="11025" max="11264" width="11.42578125" style="2"/>
    <col min="11265" max="11265" width="9.7109375" style="2" customWidth="1"/>
    <col min="11266" max="11266" width="6" style="2" customWidth="1"/>
    <col min="11267" max="11267" width="60.5703125" style="2" customWidth="1"/>
    <col min="11268" max="11268" width="15.5703125" style="2" customWidth="1"/>
    <col min="11269" max="11280" width="13.28515625" style="2" customWidth="1"/>
    <col min="11281" max="11520" width="11.42578125" style="2"/>
    <col min="11521" max="11521" width="9.7109375" style="2" customWidth="1"/>
    <col min="11522" max="11522" width="6" style="2" customWidth="1"/>
    <col min="11523" max="11523" width="60.5703125" style="2" customWidth="1"/>
    <col min="11524" max="11524" width="15.5703125" style="2" customWidth="1"/>
    <col min="11525" max="11536" width="13.28515625" style="2" customWidth="1"/>
    <col min="11537" max="11776" width="11.42578125" style="2"/>
    <col min="11777" max="11777" width="9.7109375" style="2" customWidth="1"/>
    <col min="11778" max="11778" width="6" style="2" customWidth="1"/>
    <col min="11779" max="11779" width="60.5703125" style="2" customWidth="1"/>
    <col min="11780" max="11780" width="15.5703125" style="2" customWidth="1"/>
    <col min="11781" max="11792" width="13.28515625" style="2" customWidth="1"/>
    <col min="11793" max="12032" width="11.42578125" style="2"/>
    <col min="12033" max="12033" width="9.7109375" style="2" customWidth="1"/>
    <col min="12034" max="12034" width="6" style="2" customWidth="1"/>
    <col min="12035" max="12035" width="60.5703125" style="2" customWidth="1"/>
    <col min="12036" max="12036" width="15.5703125" style="2" customWidth="1"/>
    <col min="12037" max="12048" width="13.28515625" style="2" customWidth="1"/>
    <col min="12049" max="12288" width="11.42578125" style="2"/>
    <col min="12289" max="12289" width="9.7109375" style="2" customWidth="1"/>
    <col min="12290" max="12290" width="6" style="2" customWidth="1"/>
    <col min="12291" max="12291" width="60.5703125" style="2" customWidth="1"/>
    <col min="12292" max="12292" width="15.5703125" style="2" customWidth="1"/>
    <col min="12293" max="12304" width="13.28515625" style="2" customWidth="1"/>
    <col min="12305" max="12544" width="11.42578125" style="2"/>
    <col min="12545" max="12545" width="9.7109375" style="2" customWidth="1"/>
    <col min="12546" max="12546" width="6" style="2" customWidth="1"/>
    <col min="12547" max="12547" width="60.5703125" style="2" customWidth="1"/>
    <col min="12548" max="12548" width="15.5703125" style="2" customWidth="1"/>
    <col min="12549" max="12560" width="13.28515625" style="2" customWidth="1"/>
    <col min="12561" max="12800" width="11.42578125" style="2"/>
    <col min="12801" max="12801" width="9.7109375" style="2" customWidth="1"/>
    <col min="12802" max="12802" width="6" style="2" customWidth="1"/>
    <col min="12803" max="12803" width="60.5703125" style="2" customWidth="1"/>
    <col min="12804" max="12804" width="15.5703125" style="2" customWidth="1"/>
    <col min="12805" max="12816" width="13.28515625" style="2" customWidth="1"/>
    <col min="12817" max="13056" width="11.42578125" style="2"/>
    <col min="13057" max="13057" width="9.7109375" style="2" customWidth="1"/>
    <col min="13058" max="13058" width="6" style="2" customWidth="1"/>
    <col min="13059" max="13059" width="60.5703125" style="2" customWidth="1"/>
    <col min="13060" max="13060" width="15.5703125" style="2" customWidth="1"/>
    <col min="13061" max="13072" width="13.28515625" style="2" customWidth="1"/>
    <col min="13073" max="13312" width="11.42578125" style="2"/>
    <col min="13313" max="13313" width="9.7109375" style="2" customWidth="1"/>
    <col min="13314" max="13314" width="6" style="2" customWidth="1"/>
    <col min="13315" max="13315" width="60.5703125" style="2" customWidth="1"/>
    <col min="13316" max="13316" width="15.5703125" style="2" customWidth="1"/>
    <col min="13317" max="13328" width="13.28515625" style="2" customWidth="1"/>
    <col min="13329" max="13568" width="11.42578125" style="2"/>
    <col min="13569" max="13569" width="9.7109375" style="2" customWidth="1"/>
    <col min="13570" max="13570" width="6" style="2" customWidth="1"/>
    <col min="13571" max="13571" width="60.5703125" style="2" customWidth="1"/>
    <col min="13572" max="13572" width="15.5703125" style="2" customWidth="1"/>
    <col min="13573" max="13584" width="13.28515625" style="2" customWidth="1"/>
    <col min="13585" max="13824" width="11.42578125" style="2"/>
    <col min="13825" max="13825" width="9.7109375" style="2" customWidth="1"/>
    <col min="13826" max="13826" width="6" style="2" customWidth="1"/>
    <col min="13827" max="13827" width="60.5703125" style="2" customWidth="1"/>
    <col min="13828" max="13828" width="15.5703125" style="2" customWidth="1"/>
    <col min="13829" max="13840" width="13.28515625" style="2" customWidth="1"/>
    <col min="13841" max="14080" width="11.42578125" style="2"/>
    <col min="14081" max="14081" width="9.7109375" style="2" customWidth="1"/>
    <col min="14082" max="14082" width="6" style="2" customWidth="1"/>
    <col min="14083" max="14083" width="60.5703125" style="2" customWidth="1"/>
    <col min="14084" max="14084" width="15.5703125" style="2" customWidth="1"/>
    <col min="14085" max="14096" width="13.28515625" style="2" customWidth="1"/>
    <col min="14097" max="14336" width="11.42578125" style="2"/>
    <col min="14337" max="14337" width="9.7109375" style="2" customWidth="1"/>
    <col min="14338" max="14338" width="6" style="2" customWidth="1"/>
    <col min="14339" max="14339" width="60.5703125" style="2" customWidth="1"/>
    <col min="14340" max="14340" width="15.5703125" style="2" customWidth="1"/>
    <col min="14341" max="14352" width="13.28515625" style="2" customWidth="1"/>
    <col min="14353" max="14592" width="11.42578125" style="2"/>
    <col min="14593" max="14593" width="9.7109375" style="2" customWidth="1"/>
    <col min="14594" max="14594" width="6" style="2" customWidth="1"/>
    <col min="14595" max="14595" width="60.5703125" style="2" customWidth="1"/>
    <col min="14596" max="14596" width="15.5703125" style="2" customWidth="1"/>
    <col min="14597" max="14608" width="13.28515625" style="2" customWidth="1"/>
    <col min="14609" max="14848" width="11.42578125" style="2"/>
    <col min="14849" max="14849" width="9.7109375" style="2" customWidth="1"/>
    <col min="14850" max="14850" width="6" style="2" customWidth="1"/>
    <col min="14851" max="14851" width="60.5703125" style="2" customWidth="1"/>
    <col min="14852" max="14852" width="15.5703125" style="2" customWidth="1"/>
    <col min="14853" max="14864" width="13.28515625" style="2" customWidth="1"/>
    <col min="14865" max="15104" width="11.42578125" style="2"/>
    <col min="15105" max="15105" width="9.7109375" style="2" customWidth="1"/>
    <col min="15106" max="15106" width="6" style="2" customWidth="1"/>
    <col min="15107" max="15107" width="60.5703125" style="2" customWidth="1"/>
    <col min="15108" max="15108" width="15.5703125" style="2" customWidth="1"/>
    <col min="15109" max="15120" width="13.28515625" style="2" customWidth="1"/>
    <col min="15121" max="15360" width="11.42578125" style="2"/>
    <col min="15361" max="15361" width="9.7109375" style="2" customWidth="1"/>
    <col min="15362" max="15362" width="6" style="2" customWidth="1"/>
    <col min="15363" max="15363" width="60.5703125" style="2" customWidth="1"/>
    <col min="15364" max="15364" width="15.5703125" style="2" customWidth="1"/>
    <col min="15365" max="15376" width="13.28515625" style="2" customWidth="1"/>
    <col min="15377" max="15616" width="11.42578125" style="2"/>
    <col min="15617" max="15617" width="9.7109375" style="2" customWidth="1"/>
    <col min="15618" max="15618" width="6" style="2" customWidth="1"/>
    <col min="15619" max="15619" width="60.5703125" style="2" customWidth="1"/>
    <col min="15620" max="15620" width="15.5703125" style="2" customWidth="1"/>
    <col min="15621" max="15632" width="13.28515625" style="2" customWidth="1"/>
    <col min="15633" max="15872" width="11.42578125" style="2"/>
    <col min="15873" max="15873" width="9.7109375" style="2" customWidth="1"/>
    <col min="15874" max="15874" width="6" style="2" customWidth="1"/>
    <col min="15875" max="15875" width="60.5703125" style="2" customWidth="1"/>
    <col min="15876" max="15876" width="15.5703125" style="2" customWidth="1"/>
    <col min="15877" max="15888" width="13.28515625" style="2" customWidth="1"/>
    <col min="15889" max="16128" width="11.42578125" style="2"/>
    <col min="16129" max="16129" width="9.7109375" style="2" customWidth="1"/>
    <col min="16130" max="16130" width="6" style="2" customWidth="1"/>
    <col min="16131" max="16131" width="60.5703125" style="2" customWidth="1"/>
    <col min="16132" max="16132" width="15.5703125" style="2" customWidth="1"/>
    <col min="16133" max="16144" width="13.28515625" style="2" customWidth="1"/>
    <col min="16145" max="16384" width="11.42578125" style="2"/>
  </cols>
  <sheetData>
    <row r="1" spans="1:23" ht="27" customHeight="1" x14ac:dyDescent="0.2">
      <c r="I1" s="186"/>
      <c r="M1" s="4"/>
      <c r="N1" s="4"/>
      <c r="O1" s="5"/>
      <c r="P1" s="5"/>
      <c r="Q1" s="6" t="s">
        <v>205</v>
      </c>
      <c r="V1" s="7"/>
      <c r="W1" s="7"/>
    </row>
    <row r="2" spans="1:23" ht="27" customHeight="1" x14ac:dyDescent="0.2">
      <c r="A2" s="8"/>
      <c r="B2" s="196"/>
      <c r="C2" s="58"/>
      <c r="E2" s="8"/>
      <c r="F2" s="8"/>
      <c r="G2" s="8"/>
      <c r="H2" s="8"/>
      <c r="I2" s="186"/>
      <c r="J2" s="8"/>
      <c r="K2" s="8"/>
      <c r="M2" s="9"/>
      <c r="N2" s="5"/>
      <c r="O2" s="5"/>
      <c r="P2" s="5"/>
      <c r="Q2" s="6" t="s">
        <v>276</v>
      </c>
      <c r="V2" s="7"/>
      <c r="W2" s="7"/>
    </row>
    <row r="3" spans="1:23" ht="11.25" customHeight="1" x14ac:dyDescent="0.2">
      <c r="A3" s="2"/>
      <c r="B3" s="197"/>
      <c r="I3" s="186"/>
      <c r="M3" s="9"/>
      <c r="N3" s="5"/>
      <c r="O3" s="5"/>
      <c r="P3" s="5"/>
      <c r="Q3" s="10"/>
      <c r="V3" s="7"/>
      <c r="W3" s="7"/>
    </row>
    <row r="4" spans="1:23" ht="15.75" customHeight="1" x14ac:dyDescent="0.2">
      <c r="A4" s="11"/>
      <c r="B4" s="198"/>
      <c r="C4" s="59"/>
      <c r="D4" s="12"/>
      <c r="E4" s="11"/>
      <c r="F4" s="11"/>
      <c r="G4" s="11"/>
      <c r="H4" s="11"/>
      <c r="I4" s="186"/>
      <c r="J4" s="11"/>
      <c r="K4" s="11"/>
      <c r="M4" s="485" t="s">
        <v>198</v>
      </c>
      <c r="N4" s="485"/>
      <c r="O4" s="485"/>
      <c r="P4" s="485"/>
      <c r="Q4" s="485"/>
      <c r="V4" s="7"/>
      <c r="W4" s="7"/>
    </row>
    <row r="5" spans="1:23" ht="12.75" customHeight="1" x14ac:dyDescent="0.2">
      <c r="A5" s="11"/>
      <c r="B5" s="198"/>
      <c r="C5" s="59"/>
      <c r="D5" s="12"/>
      <c r="E5" s="11"/>
      <c r="F5" s="11"/>
      <c r="G5" s="11"/>
      <c r="H5" s="11"/>
      <c r="I5" s="186"/>
      <c r="J5" s="11"/>
      <c r="K5" s="11"/>
      <c r="M5" s="13"/>
      <c r="N5" s="13"/>
      <c r="O5" s="13"/>
      <c r="P5" s="9"/>
      <c r="Q5" s="9" t="s">
        <v>22</v>
      </c>
      <c r="V5" s="7"/>
      <c r="W5" s="7"/>
    </row>
    <row r="6" spans="1:23" ht="20.25" customHeight="1" x14ac:dyDescent="0.2">
      <c r="A6" s="11"/>
      <c r="B6" s="198"/>
      <c r="C6" s="476" t="s">
        <v>255</v>
      </c>
      <c r="D6" s="477"/>
      <c r="E6" s="477"/>
      <c r="F6" s="477"/>
      <c r="G6" s="477"/>
      <c r="H6" s="477"/>
      <c r="I6" s="477"/>
      <c r="J6" s="477"/>
      <c r="K6" s="11"/>
      <c r="M6" s="485" t="s">
        <v>23</v>
      </c>
      <c r="N6" s="485"/>
      <c r="O6" s="485"/>
      <c r="P6" s="485"/>
      <c r="Q6" s="485"/>
      <c r="V6" s="7"/>
      <c r="W6" s="7"/>
    </row>
    <row r="7" spans="1:23" ht="12.75" customHeight="1" x14ac:dyDescent="0.2">
      <c r="A7" s="11"/>
      <c r="B7" s="198"/>
      <c r="C7" s="477"/>
      <c r="D7" s="477"/>
      <c r="E7" s="477"/>
      <c r="F7" s="477"/>
      <c r="G7" s="477"/>
      <c r="H7" s="477"/>
      <c r="I7" s="477"/>
      <c r="J7" s="477"/>
      <c r="K7" s="11"/>
      <c r="M7" s="13"/>
      <c r="N7" s="13"/>
      <c r="O7" s="13"/>
      <c r="P7" s="9"/>
      <c r="Q7" s="9" t="s">
        <v>0</v>
      </c>
      <c r="V7" s="7"/>
      <c r="W7" s="7"/>
    </row>
    <row r="8" spans="1:23" ht="17.25" customHeight="1" x14ac:dyDescent="0.2">
      <c r="A8" s="11"/>
      <c r="B8" s="198"/>
      <c r="C8" s="477"/>
      <c r="D8" s="477"/>
      <c r="E8" s="477"/>
      <c r="F8" s="477"/>
      <c r="G8" s="477"/>
      <c r="H8" s="477"/>
      <c r="I8" s="477"/>
      <c r="J8" s="477"/>
      <c r="K8" s="11"/>
      <c r="M8" s="485" t="s">
        <v>24</v>
      </c>
      <c r="N8" s="485"/>
      <c r="O8" s="485"/>
      <c r="P8" s="485"/>
      <c r="Q8" s="485"/>
      <c r="V8" s="7"/>
      <c r="W8" s="7"/>
    </row>
    <row r="9" spans="1:23" s="14" customFormat="1" ht="12.75" customHeight="1" x14ac:dyDescent="0.2">
      <c r="A9" s="11"/>
      <c r="B9" s="198"/>
      <c r="C9" s="59" t="s">
        <v>257</v>
      </c>
      <c r="D9" s="12"/>
      <c r="E9" s="11"/>
      <c r="F9" s="11"/>
      <c r="G9" s="11"/>
      <c r="H9" s="11"/>
      <c r="I9" s="11"/>
      <c r="J9" s="11"/>
      <c r="K9" s="11"/>
      <c r="M9" s="13"/>
      <c r="N9" s="13"/>
      <c r="O9" s="13"/>
      <c r="P9" s="13"/>
      <c r="Q9" s="13" t="s">
        <v>1</v>
      </c>
      <c r="V9" s="7"/>
      <c r="W9" s="7"/>
    </row>
    <row r="10" spans="1:23" ht="12.75" customHeight="1" x14ac:dyDescent="0.2">
      <c r="A10" s="15"/>
      <c r="B10" s="199"/>
      <c r="C10" s="63"/>
      <c r="D10" s="16"/>
      <c r="E10" s="15"/>
      <c r="F10" s="15"/>
      <c r="G10" s="15"/>
      <c r="H10" s="15"/>
      <c r="I10" s="15"/>
      <c r="J10" s="15"/>
      <c r="K10" s="15"/>
      <c r="L10" s="15"/>
      <c r="M10" s="5"/>
      <c r="N10" s="5"/>
      <c r="O10" s="5"/>
      <c r="P10" s="5"/>
      <c r="Q10" s="5"/>
      <c r="R10" s="7"/>
      <c r="S10" s="7"/>
      <c r="T10" s="7"/>
      <c r="U10" s="7"/>
      <c r="V10" s="7"/>
      <c r="W10" s="7"/>
    </row>
    <row r="11" spans="1:23" ht="12.75" customHeight="1" x14ac:dyDescent="0.2">
      <c r="A11" s="478" t="s">
        <v>25</v>
      </c>
      <c r="B11" s="492" t="s">
        <v>21</v>
      </c>
      <c r="C11" s="478" t="s">
        <v>2</v>
      </c>
      <c r="D11" s="480" t="s">
        <v>3</v>
      </c>
      <c r="E11" s="482" t="s">
        <v>26</v>
      </c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3" t="s">
        <v>27</v>
      </c>
    </row>
    <row r="12" spans="1:23" s="18" customFormat="1" ht="13.5" thickBot="1" x14ac:dyDescent="0.25">
      <c r="A12" s="479"/>
      <c r="B12" s="493"/>
      <c r="C12" s="479"/>
      <c r="D12" s="481"/>
      <c r="E12" s="187" t="s">
        <v>4</v>
      </c>
      <c r="F12" s="188" t="s">
        <v>5</v>
      </c>
      <c r="G12" s="188" t="s">
        <v>6</v>
      </c>
      <c r="H12" s="188" t="s">
        <v>7</v>
      </c>
      <c r="I12" s="188" t="s">
        <v>8</v>
      </c>
      <c r="J12" s="188" t="s">
        <v>9</v>
      </c>
      <c r="K12" s="188" t="s">
        <v>10</v>
      </c>
      <c r="L12" s="188" t="s">
        <v>11</v>
      </c>
      <c r="M12" s="188" t="s">
        <v>12</v>
      </c>
      <c r="N12" s="188" t="s">
        <v>13</v>
      </c>
      <c r="O12" s="188" t="s">
        <v>14</v>
      </c>
      <c r="P12" s="188" t="s">
        <v>15</v>
      </c>
      <c r="Q12" s="484"/>
    </row>
    <row r="13" spans="1:23" s="21" customFormat="1" x14ac:dyDescent="0.2">
      <c r="A13" s="53">
        <v>1131</v>
      </c>
      <c r="B13" s="200"/>
      <c r="C13" s="52" t="s">
        <v>28</v>
      </c>
      <c r="D13" s="61">
        <f>SUM(E13:P13)</f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486"/>
      <c r="R13" s="472"/>
    </row>
    <row r="14" spans="1:23" s="21" customFormat="1" x14ac:dyDescent="0.2">
      <c r="A14" s="53">
        <v>1211</v>
      </c>
      <c r="B14" s="200"/>
      <c r="C14" s="52" t="s">
        <v>29</v>
      </c>
      <c r="D14" s="61">
        <f t="shared" ref="D14:D27" si="0">SUM(E14:P14)</f>
        <v>0</v>
      </c>
      <c r="E14" s="20"/>
      <c r="F14" s="20"/>
      <c r="G14" s="20"/>
      <c r="H14" s="185"/>
      <c r="I14" s="20"/>
      <c r="J14" s="20"/>
      <c r="K14" s="74"/>
      <c r="L14" s="74"/>
      <c r="M14" s="74"/>
      <c r="N14" s="74"/>
      <c r="O14" s="74"/>
      <c r="P14" s="74"/>
      <c r="Q14" s="487"/>
      <c r="R14" s="472"/>
    </row>
    <row r="15" spans="1:23" s="21" customFormat="1" ht="24" x14ac:dyDescent="0.2">
      <c r="A15" s="53">
        <v>1311</v>
      </c>
      <c r="B15" s="200"/>
      <c r="C15" s="52" t="s">
        <v>30</v>
      </c>
      <c r="D15" s="61">
        <f t="shared" si="0"/>
        <v>0</v>
      </c>
      <c r="E15" s="20"/>
      <c r="F15" s="20"/>
      <c r="G15" s="20"/>
      <c r="H15" s="20"/>
      <c r="I15" s="20"/>
      <c r="J15" s="20"/>
      <c r="K15" s="74"/>
      <c r="L15" s="74"/>
      <c r="M15" s="74"/>
      <c r="N15" s="74"/>
      <c r="O15" s="74"/>
      <c r="P15" s="74"/>
      <c r="Q15" s="487"/>
      <c r="R15" s="472"/>
    </row>
    <row r="16" spans="1:23" s="21" customFormat="1" x14ac:dyDescent="0.2">
      <c r="A16" s="53">
        <v>1321</v>
      </c>
      <c r="B16" s="200"/>
      <c r="C16" s="52" t="s">
        <v>31</v>
      </c>
      <c r="D16" s="61">
        <f t="shared" si="0"/>
        <v>0</v>
      </c>
      <c r="E16" s="20"/>
      <c r="F16" s="20"/>
      <c r="G16" s="20"/>
      <c r="H16" s="20"/>
      <c r="I16" s="20"/>
      <c r="J16" s="20"/>
      <c r="K16" s="74"/>
      <c r="L16" s="74"/>
      <c r="M16" s="74"/>
      <c r="N16" s="74"/>
      <c r="O16" s="74"/>
      <c r="P16" s="74"/>
      <c r="Q16" s="487"/>
      <c r="R16" s="472"/>
    </row>
    <row r="17" spans="1:20" s="21" customFormat="1" x14ac:dyDescent="0.2">
      <c r="A17" s="53">
        <v>1322</v>
      </c>
      <c r="B17" s="200"/>
      <c r="C17" s="52" t="s">
        <v>32</v>
      </c>
      <c r="D17" s="61">
        <f t="shared" si="0"/>
        <v>0</v>
      </c>
      <c r="E17" s="20"/>
      <c r="F17" s="20"/>
      <c r="G17" s="20"/>
      <c r="H17" s="20"/>
      <c r="I17" s="67"/>
      <c r="J17" s="20"/>
      <c r="K17" s="74"/>
      <c r="L17" s="74"/>
      <c r="M17" s="74"/>
      <c r="N17" s="74"/>
      <c r="O17" s="74"/>
      <c r="P17" s="74"/>
      <c r="Q17" s="487"/>
      <c r="R17" s="472"/>
    </row>
    <row r="18" spans="1:20" s="21" customFormat="1" x14ac:dyDescent="0.2">
      <c r="A18" s="53">
        <v>1343</v>
      </c>
      <c r="B18" s="200"/>
      <c r="C18" s="52" t="s">
        <v>33</v>
      </c>
      <c r="D18" s="61">
        <f t="shared" si="0"/>
        <v>0</v>
      </c>
      <c r="E18" s="20"/>
      <c r="F18" s="20"/>
      <c r="G18" s="20"/>
      <c r="H18" s="20"/>
      <c r="I18" s="67"/>
      <c r="J18" s="20"/>
      <c r="K18" s="74"/>
      <c r="L18" s="74"/>
      <c r="M18" s="74"/>
      <c r="N18" s="74"/>
      <c r="O18" s="74"/>
      <c r="P18" s="74"/>
      <c r="Q18" s="487"/>
      <c r="R18" s="472"/>
    </row>
    <row r="19" spans="1:20" s="21" customFormat="1" ht="24" x14ac:dyDescent="0.2">
      <c r="A19" s="53">
        <v>1411</v>
      </c>
      <c r="B19" s="200"/>
      <c r="C19" s="52" t="s">
        <v>34</v>
      </c>
      <c r="D19" s="61">
        <f t="shared" si="0"/>
        <v>0</v>
      </c>
      <c r="E19" s="20"/>
      <c r="F19" s="20"/>
      <c r="G19" s="20"/>
      <c r="H19" s="20"/>
      <c r="I19" s="67"/>
      <c r="J19" s="20"/>
      <c r="K19" s="74"/>
      <c r="L19" s="74"/>
      <c r="M19" s="74"/>
      <c r="N19" s="74"/>
      <c r="O19" s="74"/>
      <c r="P19" s="74"/>
      <c r="Q19" s="487"/>
      <c r="R19" s="472"/>
    </row>
    <row r="20" spans="1:20" s="21" customFormat="1" x14ac:dyDescent="0.2">
      <c r="A20" s="53">
        <v>1421</v>
      </c>
      <c r="B20" s="200"/>
      <c r="C20" s="52" t="s">
        <v>35</v>
      </c>
      <c r="D20" s="61">
        <f t="shared" si="0"/>
        <v>0</v>
      </c>
      <c r="E20" s="20"/>
      <c r="F20" s="20"/>
      <c r="G20" s="20"/>
      <c r="H20" s="20"/>
      <c r="I20" s="67"/>
      <c r="J20" s="20"/>
      <c r="K20" s="74"/>
      <c r="L20" s="74"/>
      <c r="M20" s="74"/>
      <c r="N20" s="74"/>
      <c r="O20" s="74"/>
      <c r="P20" s="74"/>
      <c r="Q20" s="487"/>
      <c r="R20" s="472"/>
    </row>
    <row r="21" spans="1:20" s="21" customFormat="1" x14ac:dyDescent="0.2">
      <c r="A21" s="53">
        <v>1431</v>
      </c>
      <c r="B21" s="200"/>
      <c r="C21" s="52" t="s">
        <v>36</v>
      </c>
      <c r="D21" s="61">
        <f t="shared" si="0"/>
        <v>0</v>
      </c>
      <c r="E21" s="20"/>
      <c r="F21" s="20"/>
      <c r="G21" s="20"/>
      <c r="H21" s="20"/>
      <c r="I21" s="67"/>
      <c r="J21" s="20"/>
      <c r="K21" s="74"/>
      <c r="L21" s="74"/>
      <c r="M21" s="74"/>
      <c r="N21" s="74"/>
      <c r="O21" s="74"/>
      <c r="P21" s="74"/>
      <c r="Q21" s="487"/>
      <c r="R21" s="472"/>
    </row>
    <row r="22" spans="1:20" s="21" customFormat="1" ht="24" x14ac:dyDescent="0.2">
      <c r="A22" s="53">
        <v>1432</v>
      </c>
      <c r="B22" s="200"/>
      <c r="C22" s="52" t="s">
        <v>37</v>
      </c>
      <c r="D22" s="61">
        <f t="shared" si="0"/>
        <v>0</v>
      </c>
      <c r="E22" s="20"/>
      <c r="F22" s="20"/>
      <c r="G22" s="20"/>
      <c r="H22" s="20"/>
      <c r="I22" s="67"/>
      <c r="J22" s="20"/>
      <c r="K22" s="74"/>
      <c r="L22" s="74"/>
      <c r="M22" s="74"/>
      <c r="N22" s="74"/>
      <c r="O22" s="74"/>
      <c r="P22" s="74"/>
      <c r="Q22" s="487"/>
      <c r="R22" s="472"/>
    </row>
    <row r="23" spans="1:20" s="21" customFormat="1" x14ac:dyDescent="0.2">
      <c r="A23" s="53">
        <v>1543</v>
      </c>
      <c r="B23" s="200"/>
      <c r="C23" s="52" t="s">
        <v>38</v>
      </c>
      <c r="D23" s="61">
        <f>SUM(E23:P23)</f>
        <v>0</v>
      </c>
      <c r="E23" s="20"/>
      <c r="F23" s="20"/>
      <c r="G23" s="20"/>
      <c r="H23" s="20"/>
      <c r="I23" s="67"/>
      <c r="J23" s="20"/>
      <c r="K23" s="74"/>
      <c r="L23" s="74"/>
      <c r="M23" s="74"/>
      <c r="N23" s="74"/>
      <c r="O23" s="74"/>
      <c r="P23" s="74"/>
      <c r="Q23" s="487"/>
      <c r="R23" s="472"/>
    </row>
    <row r="24" spans="1:20" s="21" customFormat="1" x14ac:dyDescent="0.2">
      <c r="A24" s="53">
        <v>1611</v>
      </c>
      <c r="B24" s="200"/>
      <c r="C24" s="52" t="s">
        <v>121</v>
      </c>
      <c r="D24" s="61">
        <f t="shared" si="0"/>
        <v>0</v>
      </c>
      <c r="E24" s="20"/>
      <c r="F24" s="20"/>
      <c r="G24" s="20"/>
      <c r="H24" s="20"/>
      <c r="I24" s="20"/>
      <c r="J24" s="20"/>
      <c r="K24" s="74"/>
      <c r="L24" s="74"/>
      <c r="M24" s="74"/>
      <c r="N24" s="74"/>
      <c r="O24" s="74"/>
      <c r="P24" s="74"/>
      <c r="Q24" s="487"/>
      <c r="R24" s="472"/>
    </row>
    <row r="25" spans="1:20" s="21" customFormat="1" x14ac:dyDescent="0.2">
      <c r="A25" s="53">
        <v>1715</v>
      </c>
      <c r="B25" s="200"/>
      <c r="C25" s="52" t="s">
        <v>39</v>
      </c>
      <c r="D25" s="61">
        <f t="shared" si="0"/>
        <v>0</v>
      </c>
      <c r="E25" s="20"/>
      <c r="F25" s="20"/>
      <c r="G25" s="20"/>
      <c r="H25" s="20"/>
      <c r="I25" s="20"/>
      <c r="J25" s="20"/>
      <c r="K25" s="74"/>
      <c r="L25" s="74"/>
      <c r="M25" s="74"/>
      <c r="N25" s="74"/>
      <c r="O25" s="74"/>
      <c r="P25" s="74"/>
      <c r="Q25" s="487"/>
      <c r="R25" s="472"/>
    </row>
    <row r="26" spans="1:20" s="21" customFormat="1" x14ac:dyDescent="0.2">
      <c r="A26" s="53">
        <v>1719</v>
      </c>
      <c r="B26" s="200"/>
      <c r="C26" s="52" t="s">
        <v>40</v>
      </c>
      <c r="D26" s="61">
        <f t="shared" si="0"/>
        <v>0</v>
      </c>
      <c r="E26" s="20"/>
      <c r="F26" s="20"/>
      <c r="G26" s="20"/>
      <c r="H26" s="20"/>
      <c r="I26" s="20"/>
      <c r="J26" s="20"/>
      <c r="K26" s="74"/>
      <c r="L26" s="74"/>
      <c r="M26" s="74"/>
      <c r="N26" s="74"/>
      <c r="O26" s="74"/>
      <c r="P26" s="74"/>
      <c r="Q26" s="487"/>
      <c r="R26" s="472"/>
    </row>
    <row r="27" spans="1:20" s="21" customFormat="1" x14ac:dyDescent="0.2">
      <c r="A27" s="53">
        <v>1712</v>
      </c>
      <c r="B27" s="200"/>
      <c r="C27" s="52" t="s">
        <v>41</v>
      </c>
      <c r="D27" s="61">
        <f t="shared" si="0"/>
        <v>0</v>
      </c>
      <c r="E27" s="20"/>
      <c r="F27" s="20"/>
      <c r="G27" s="20"/>
      <c r="H27" s="20"/>
      <c r="I27" s="20"/>
      <c r="J27" s="20"/>
      <c r="K27" s="74"/>
      <c r="L27" s="74"/>
      <c r="M27" s="74"/>
      <c r="N27" s="74"/>
      <c r="O27" s="74"/>
      <c r="P27" s="74"/>
      <c r="Q27" s="488"/>
      <c r="R27" s="472"/>
    </row>
    <row r="28" spans="1:20" s="11" customFormat="1" ht="25.5" x14ac:dyDescent="0.2">
      <c r="A28" s="22"/>
      <c r="B28" s="201"/>
      <c r="C28" s="62" t="s">
        <v>16</v>
      </c>
      <c r="D28" s="65">
        <f>SUM(D13:D27)</f>
        <v>0</v>
      </c>
      <c r="E28" s="24">
        <f t="shared" ref="E28:P28" si="1">SUM(E13:E27)</f>
        <v>0</v>
      </c>
      <c r="F28" s="24">
        <f t="shared" si="1"/>
        <v>0</v>
      </c>
      <c r="G28" s="24">
        <f t="shared" si="1"/>
        <v>0</v>
      </c>
      <c r="H28" s="24">
        <f t="shared" si="1"/>
        <v>0</v>
      </c>
      <c r="I28" s="24">
        <f t="shared" si="1"/>
        <v>0</v>
      </c>
      <c r="J28" s="24">
        <f t="shared" si="1"/>
        <v>0</v>
      </c>
      <c r="K28" s="24">
        <f t="shared" si="1"/>
        <v>0</v>
      </c>
      <c r="L28" s="24">
        <f t="shared" si="1"/>
        <v>0</v>
      </c>
      <c r="M28" s="24">
        <f t="shared" si="1"/>
        <v>0</v>
      </c>
      <c r="N28" s="24">
        <f t="shared" si="1"/>
        <v>0</v>
      </c>
      <c r="O28" s="24">
        <f t="shared" si="1"/>
        <v>0</v>
      </c>
      <c r="P28" s="24">
        <f t="shared" si="1"/>
        <v>0</v>
      </c>
      <c r="Q28" s="25"/>
      <c r="R28" s="26"/>
      <c r="T28" s="46"/>
    </row>
    <row r="29" spans="1:20" s="21" customFormat="1" ht="24" x14ac:dyDescent="0.2">
      <c r="A29" s="54">
        <v>2111</v>
      </c>
      <c r="B29" s="200"/>
      <c r="C29" s="49" t="s">
        <v>42</v>
      </c>
      <c r="D29" s="61">
        <f t="shared" ref="D29:D92" si="2">SUM(E29:P29)</f>
        <v>0</v>
      </c>
      <c r="E29" s="28"/>
      <c r="F29" s="29"/>
      <c r="G29" s="29"/>
      <c r="H29" s="29"/>
      <c r="I29" s="28"/>
      <c r="J29" s="29"/>
      <c r="K29" s="29"/>
      <c r="L29" s="28"/>
      <c r="M29" s="29"/>
      <c r="N29" s="28"/>
      <c r="O29" s="29"/>
      <c r="P29" s="29"/>
      <c r="Q29" s="30"/>
    </row>
    <row r="30" spans="1:20" s="21" customFormat="1" ht="24" x14ac:dyDescent="0.2">
      <c r="A30" s="54">
        <v>2121</v>
      </c>
      <c r="B30" s="200"/>
      <c r="C30" s="49" t="s">
        <v>123</v>
      </c>
      <c r="D30" s="61">
        <f t="shared" si="2"/>
        <v>0</v>
      </c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1" spans="1:20" s="21" customFormat="1" ht="36" x14ac:dyDescent="0.2">
      <c r="A31" s="54">
        <v>2141</v>
      </c>
      <c r="B31" s="200"/>
      <c r="C31" s="49" t="s">
        <v>43</v>
      </c>
      <c r="D31" s="61">
        <f t="shared" si="2"/>
        <v>0</v>
      </c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30"/>
    </row>
    <row r="32" spans="1:20" s="21" customFormat="1" x14ac:dyDescent="0.2">
      <c r="A32" s="54">
        <v>2151</v>
      </c>
      <c r="B32" s="200"/>
      <c r="C32" s="49" t="s">
        <v>44</v>
      </c>
      <c r="D32" s="61">
        <f t="shared" si="2"/>
        <v>0</v>
      </c>
      <c r="E32" s="28"/>
      <c r="F32" s="29"/>
      <c r="G32" s="28"/>
      <c r="H32" s="29"/>
      <c r="I32" s="29"/>
      <c r="J32" s="29"/>
      <c r="K32" s="29"/>
      <c r="L32" s="29"/>
      <c r="M32" s="29"/>
      <c r="N32" s="29"/>
      <c r="O32" s="29"/>
      <c r="P32" s="29"/>
      <c r="Q32" s="30"/>
    </row>
    <row r="33" spans="1:17" s="21" customFormat="1" x14ac:dyDescent="0.2">
      <c r="A33" s="54">
        <v>2161</v>
      </c>
      <c r="B33" s="200"/>
      <c r="C33" s="49" t="s">
        <v>45</v>
      </c>
      <c r="D33" s="61">
        <f t="shared" si="2"/>
        <v>0</v>
      </c>
      <c r="E33" s="28"/>
      <c r="F33" s="29"/>
      <c r="G33" s="28"/>
      <c r="H33" s="29"/>
      <c r="I33" s="28"/>
      <c r="J33" s="29"/>
      <c r="K33" s="28"/>
      <c r="L33" s="29"/>
      <c r="M33" s="28"/>
      <c r="N33" s="29"/>
      <c r="O33" s="28"/>
      <c r="P33" s="29"/>
      <c r="Q33" s="30"/>
    </row>
    <row r="34" spans="1:17" s="21" customFormat="1" x14ac:dyDescent="0.2">
      <c r="A34" s="54">
        <v>2171</v>
      </c>
      <c r="B34" s="200"/>
      <c r="C34" s="49" t="s">
        <v>46</v>
      </c>
      <c r="D34" s="61">
        <f t="shared" si="2"/>
        <v>0</v>
      </c>
      <c r="E34" s="28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30"/>
    </row>
    <row r="35" spans="1:17" s="21" customFormat="1" ht="24" x14ac:dyDescent="0.2">
      <c r="A35" s="54">
        <v>2211</v>
      </c>
      <c r="B35" s="200"/>
      <c r="C35" s="49" t="s">
        <v>47</v>
      </c>
      <c r="D35" s="61">
        <f t="shared" si="2"/>
        <v>0</v>
      </c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30"/>
    </row>
    <row r="36" spans="1:17" s="21" customFormat="1" x14ac:dyDescent="0.2">
      <c r="A36" s="54">
        <v>2221</v>
      </c>
      <c r="B36" s="200"/>
      <c r="C36" s="49" t="s">
        <v>48</v>
      </c>
      <c r="D36" s="61">
        <f t="shared" si="2"/>
        <v>0</v>
      </c>
      <c r="E36" s="28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30"/>
    </row>
    <row r="37" spans="1:17" s="21" customFormat="1" x14ac:dyDescent="0.2">
      <c r="A37" s="54">
        <v>2231</v>
      </c>
      <c r="B37" s="200"/>
      <c r="C37" s="49" t="s">
        <v>49</v>
      </c>
      <c r="D37" s="61">
        <f t="shared" si="2"/>
        <v>1128.19</v>
      </c>
      <c r="E37" s="28">
        <v>1128.19</v>
      </c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30"/>
    </row>
    <row r="38" spans="1:17" s="21" customFormat="1" x14ac:dyDescent="0.2">
      <c r="A38" s="54">
        <v>2411</v>
      </c>
      <c r="B38" s="200"/>
      <c r="C38" s="49" t="s">
        <v>50</v>
      </c>
      <c r="D38" s="61">
        <f t="shared" si="2"/>
        <v>0</v>
      </c>
      <c r="E38" s="28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30"/>
    </row>
    <row r="39" spans="1:17" s="21" customFormat="1" x14ac:dyDescent="0.2">
      <c r="A39" s="54">
        <v>2421</v>
      </c>
      <c r="B39" s="200"/>
      <c r="C39" s="49" t="s">
        <v>51</v>
      </c>
      <c r="D39" s="61">
        <f t="shared" si="2"/>
        <v>0</v>
      </c>
      <c r="E39" s="28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30"/>
    </row>
    <row r="40" spans="1:17" s="21" customFormat="1" x14ac:dyDescent="0.2">
      <c r="A40" s="54">
        <v>2431</v>
      </c>
      <c r="B40" s="200"/>
      <c r="C40" s="49" t="s">
        <v>52</v>
      </c>
      <c r="D40" s="61">
        <f t="shared" si="2"/>
        <v>0</v>
      </c>
      <c r="E40" s="28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30"/>
    </row>
    <row r="41" spans="1:17" s="21" customFormat="1" x14ac:dyDescent="0.2">
      <c r="A41" s="54">
        <v>2441</v>
      </c>
      <c r="B41" s="200"/>
      <c r="C41" s="49" t="s">
        <v>53</v>
      </c>
      <c r="D41" s="61">
        <f t="shared" si="2"/>
        <v>0</v>
      </c>
      <c r="E41" s="28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1:17" s="21" customFormat="1" x14ac:dyDescent="0.2">
      <c r="A42" s="54">
        <v>2451</v>
      </c>
      <c r="B42" s="200"/>
      <c r="C42" s="49" t="s">
        <v>54</v>
      </c>
      <c r="D42" s="61">
        <f t="shared" si="2"/>
        <v>0</v>
      </c>
      <c r="E42" s="28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30"/>
    </row>
    <row r="43" spans="1:17" s="21" customFormat="1" x14ac:dyDescent="0.2">
      <c r="A43" s="54">
        <v>2461</v>
      </c>
      <c r="B43" s="200"/>
      <c r="C43" s="49" t="s">
        <v>55</v>
      </c>
      <c r="D43" s="61">
        <f t="shared" si="2"/>
        <v>0</v>
      </c>
      <c r="E43" s="28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30"/>
    </row>
    <row r="44" spans="1:17" s="21" customFormat="1" x14ac:dyDescent="0.2">
      <c r="A44" s="55">
        <v>2471</v>
      </c>
      <c r="B44" s="200"/>
      <c r="C44" s="49" t="s">
        <v>56</v>
      </c>
      <c r="D44" s="61">
        <f t="shared" si="2"/>
        <v>0</v>
      </c>
      <c r="E44" s="28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30"/>
    </row>
    <row r="45" spans="1:17" s="21" customFormat="1" x14ac:dyDescent="0.2">
      <c r="A45" s="55">
        <v>2481</v>
      </c>
      <c r="B45" s="200"/>
      <c r="C45" s="49" t="s">
        <v>57</v>
      </c>
      <c r="D45" s="61">
        <f t="shared" si="2"/>
        <v>0</v>
      </c>
      <c r="E45" s="28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0"/>
    </row>
    <row r="46" spans="1:17" s="21" customFormat="1" ht="24" x14ac:dyDescent="0.2">
      <c r="A46" s="54">
        <v>2491</v>
      </c>
      <c r="B46" s="200"/>
      <c r="C46" s="49" t="s">
        <v>58</v>
      </c>
      <c r="D46" s="61">
        <f t="shared" si="2"/>
        <v>0</v>
      </c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30"/>
    </row>
    <row r="47" spans="1:17" s="21" customFormat="1" x14ac:dyDescent="0.2">
      <c r="A47" s="54">
        <v>2511</v>
      </c>
      <c r="B47" s="200"/>
      <c r="C47" s="49" t="s">
        <v>59</v>
      </c>
      <c r="D47" s="61">
        <f t="shared" si="2"/>
        <v>1904.26</v>
      </c>
      <c r="E47" s="28">
        <v>1904.26</v>
      </c>
      <c r="F47" s="29"/>
      <c r="G47" s="28"/>
      <c r="H47" s="29"/>
      <c r="I47" s="29"/>
      <c r="J47" s="29"/>
      <c r="K47" s="28"/>
      <c r="L47" s="29"/>
      <c r="M47" s="29"/>
      <c r="N47" s="29"/>
      <c r="O47" s="29"/>
      <c r="P47" s="29"/>
      <c r="Q47" s="30"/>
    </row>
    <row r="48" spans="1:17" s="21" customFormat="1" x14ac:dyDescent="0.2">
      <c r="A48" s="54">
        <v>2521</v>
      </c>
      <c r="B48" s="200"/>
      <c r="C48" s="49" t="s">
        <v>60</v>
      </c>
      <c r="D48" s="61">
        <f t="shared" si="2"/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30"/>
    </row>
    <row r="49" spans="1:17" s="21" customFormat="1" x14ac:dyDescent="0.2">
      <c r="A49" s="54">
        <v>2531</v>
      </c>
      <c r="B49" s="200"/>
      <c r="C49" s="49" t="s">
        <v>61</v>
      </c>
      <c r="D49" s="61">
        <f t="shared" si="2"/>
        <v>0</v>
      </c>
      <c r="E49" s="28"/>
      <c r="F49" s="29"/>
      <c r="G49" s="29"/>
      <c r="H49" s="29"/>
      <c r="I49" s="29"/>
      <c r="J49" s="29"/>
      <c r="K49" s="29"/>
      <c r="L49" s="28"/>
      <c r="M49" s="29"/>
      <c r="N49" s="29"/>
      <c r="O49" s="29"/>
      <c r="P49" s="29"/>
      <c r="Q49" s="30"/>
    </row>
    <row r="50" spans="1:17" s="21" customFormat="1" ht="24" x14ac:dyDescent="0.2">
      <c r="A50" s="54">
        <v>2541</v>
      </c>
      <c r="B50" s="200"/>
      <c r="C50" s="49" t="s">
        <v>62</v>
      </c>
      <c r="D50" s="61">
        <f t="shared" si="2"/>
        <v>0</v>
      </c>
      <c r="E50" s="28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30"/>
    </row>
    <row r="51" spans="1:17" s="21" customFormat="1" ht="24" x14ac:dyDescent="0.2">
      <c r="A51" s="54">
        <v>2551</v>
      </c>
      <c r="B51" s="200"/>
      <c r="C51" s="49" t="s">
        <v>63</v>
      </c>
      <c r="D51" s="61">
        <f t="shared" si="2"/>
        <v>6740.33</v>
      </c>
      <c r="E51" s="28">
        <v>6740.33</v>
      </c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30"/>
    </row>
    <row r="52" spans="1:17" s="21" customFormat="1" x14ac:dyDescent="0.2">
      <c r="A52" s="54">
        <v>2561</v>
      </c>
      <c r="B52" s="200"/>
      <c r="C52" s="49" t="s">
        <v>64</v>
      </c>
      <c r="D52" s="61">
        <f t="shared" si="2"/>
        <v>0</v>
      </c>
      <c r="E52" s="28"/>
      <c r="F52" s="29"/>
      <c r="G52" s="29"/>
      <c r="H52" s="29"/>
      <c r="I52" s="28"/>
      <c r="J52" s="29"/>
      <c r="K52" s="29"/>
      <c r="L52" s="28"/>
      <c r="M52" s="29"/>
      <c r="N52" s="29"/>
      <c r="O52" s="28"/>
      <c r="P52" s="29"/>
      <c r="Q52" s="30"/>
    </row>
    <row r="53" spans="1:17" s="21" customFormat="1" x14ac:dyDescent="0.2">
      <c r="A53" s="54">
        <v>2591</v>
      </c>
      <c r="B53" s="200"/>
      <c r="C53" s="49" t="s">
        <v>65</v>
      </c>
      <c r="D53" s="61">
        <f t="shared" si="2"/>
        <v>4422.26</v>
      </c>
      <c r="E53" s="28">
        <v>4422.26</v>
      </c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30"/>
    </row>
    <row r="54" spans="1:17" s="21" customFormat="1" x14ac:dyDescent="0.2">
      <c r="A54" s="54">
        <v>2611</v>
      </c>
      <c r="B54" s="200"/>
      <c r="C54" s="49" t="s">
        <v>66</v>
      </c>
      <c r="D54" s="61">
        <f t="shared" si="2"/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30"/>
    </row>
    <row r="55" spans="1:17" s="21" customFormat="1" x14ac:dyDescent="0.2">
      <c r="A55" s="54">
        <v>2612</v>
      </c>
      <c r="B55" s="200"/>
      <c r="C55" s="49" t="s">
        <v>67</v>
      </c>
      <c r="D55" s="61">
        <f t="shared" si="2"/>
        <v>0</v>
      </c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30"/>
    </row>
    <row r="56" spans="1:17" s="21" customFormat="1" x14ac:dyDescent="0.2">
      <c r="A56" s="54">
        <v>2711</v>
      </c>
      <c r="B56" s="200"/>
      <c r="C56" s="49" t="s">
        <v>68</v>
      </c>
      <c r="D56" s="61">
        <f t="shared" si="2"/>
        <v>0</v>
      </c>
      <c r="E56" s="28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30"/>
    </row>
    <row r="57" spans="1:17" s="21" customFormat="1" x14ac:dyDescent="0.2">
      <c r="A57" s="54">
        <v>2721</v>
      </c>
      <c r="B57" s="200"/>
      <c r="C57" s="49" t="s">
        <v>69</v>
      </c>
      <c r="D57" s="61">
        <f t="shared" si="2"/>
        <v>0</v>
      </c>
      <c r="E57" s="28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30"/>
    </row>
    <row r="58" spans="1:17" s="21" customFormat="1" x14ac:dyDescent="0.2">
      <c r="A58" s="54">
        <v>2731</v>
      </c>
      <c r="B58" s="200"/>
      <c r="C58" s="49" t="s">
        <v>70</v>
      </c>
      <c r="D58" s="61">
        <f t="shared" si="2"/>
        <v>0</v>
      </c>
      <c r="E58" s="28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30"/>
    </row>
    <row r="59" spans="1:17" s="21" customFormat="1" x14ac:dyDescent="0.2">
      <c r="A59" s="54">
        <v>2911</v>
      </c>
      <c r="B59" s="200"/>
      <c r="C59" s="51" t="s">
        <v>71</v>
      </c>
      <c r="D59" s="61">
        <f t="shared" si="2"/>
        <v>0</v>
      </c>
      <c r="E59" s="28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30"/>
    </row>
    <row r="60" spans="1:17" s="21" customFormat="1" ht="24" x14ac:dyDescent="0.2">
      <c r="A60" s="54">
        <v>2921</v>
      </c>
      <c r="B60" s="200"/>
      <c r="C60" s="51" t="s">
        <v>72</v>
      </c>
      <c r="D60" s="61">
        <f t="shared" si="2"/>
        <v>0</v>
      </c>
      <c r="E60" s="28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</row>
    <row r="61" spans="1:17" s="21" customFormat="1" ht="36" x14ac:dyDescent="0.2">
      <c r="A61" s="54">
        <v>2931</v>
      </c>
      <c r="B61" s="200"/>
      <c r="C61" s="51" t="s">
        <v>73</v>
      </c>
      <c r="D61" s="61">
        <f t="shared" si="2"/>
        <v>0</v>
      </c>
      <c r="E61" s="28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30"/>
    </row>
    <row r="62" spans="1:17" s="21" customFormat="1" ht="36" x14ac:dyDescent="0.2">
      <c r="A62" s="54">
        <v>2941</v>
      </c>
      <c r="B62" s="200"/>
      <c r="C62" s="51" t="s">
        <v>74</v>
      </c>
      <c r="D62" s="61">
        <f t="shared" si="2"/>
        <v>0</v>
      </c>
      <c r="E62" s="28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30"/>
    </row>
    <row r="63" spans="1:17" s="21" customFormat="1" ht="24" x14ac:dyDescent="0.2">
      <c r="A63" s="54">
        <v>2951</v>
      </c>
      <c r="B63" s="200"/>
      <c r="C63" s="51" t="s">
        <v>75</v>
      </c>
      <c r="D63" s="61">
        <f t="shared" si="2"/>
        <v>0</v>
      </c>
      <c r="E63" s="28"/>
      <c r="F63" s="28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30"/>
    </row>
    <row r="64" spans="1:17" s="21" customFormat="1" ht="24" x14ac:dyDescent="0.2">
      <c r="A64" s="54">
        <v>2961</v>
      </c>
      <c r="B64" s="200"/>
      <c r="C64" s="51" t="s">
        <v>76</v>
      </c>
      <c r="D64" s="61">
        <f>SUM(G64:P64)</f>
        <v>0</v>
      </c>
      <c r="E64" s="67"/>
      <c r="G64" s="28"/>
      <c r="H64" s="28"/>
      <c r="J64" s="28"/>
      <c r="L64" s="28"/>
      <c r="M64" s="28"/>
      <c r="N64" s="28"/>
      <c r="O64" s="28"/>
      <c r="P64" s="28"/>
      <c r="Q64" s="30"/>
    </row>
    <row r="65" spans="1:18" s="21" customFormat="1" ht="24" x14ac:dyDescent="0.2">
      <c r="A65" s="54">
        <v>2981</v>
      </c>
      <c r="B65" s="200"/>
      <c r="C65" s="51" t="s">
        <v>77</v>
      </c>
      <c r="D65" s="61">
        <f t="shared" si="2"/>
        <v>0</v>
      </c>
      <c r="E65" s="28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30"/>
    </row>
    <row r="66" spans="1:18" s="21" customFormat="1" ht="24" x14ac:dyDescent="0.2">
      <c r="A66" s="54">
        <v>2991</v>
      </c>
      <c r="B66" s="200"/>
      <c r="C66" s="51" t="s">
        <v>78</v>
      </c>
      <c r="D66" s="61">
        <f t="shared" si="2"/>
        <v>0</v>
      </c>
      <c r="E66" s="28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30"/>
    </row>
    <row r="67" spans="1:18" s="11" customFormat="1" ht="25.5" x14ac:dyDescent="0.2">
      <c r="A67" s="22"/>
      <c r="B67" s="201"/>
      <c r="C67" s="62" t="s">
        <v>17</v>
      </c>
      <c r="D67" s="66">
        <f>SUM(D29:D66)</f>
        <v>14195.039999999999</v>
      </c>
      <c r="E67" s="66">
        <f>SUM(E29:E66)</f>
        <v>14195.039999999999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5"/>
      <c r="R67" s="26">
        <f>SUM(E67:Q67)</f>
        <v>14195.039999999999</v>
      </c>
    </row>
    <row r="68" spans="1:18" s="21" customFormat="1" x14ac:dyDescent="0.2">
      <c r="A68" s="54">
        <v>3111</v>
      </c>
      <c r="B68" s="200"/>
      <c r="C68" s="49" t="s">
        <v>80</v>
      </c>
      <c r="D68" s="61">
        <f t="shared" si="2"/>
        <v>0</v>
      </c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30"/>
    </row>
    <row r="69" spans="1:18" s="21" customFormat="1" x14ac:dyDescent="0.2">
      <c r="A69" s="54">
        <v>3121</v>
      </c>
      <c r="B69" s="200"/>
      <c r="C69" s="49" t="s">
        <v>81</v>
      </c>
      <c r="D69" s="61">
        <f t="shared" si="2"/>
        <v>0</v>
      </c>
      <c r="E69" s="28"/>
      <c r="F69" s="117"/>
      <c r="G69" s="117"/>
      <c r="H69" s="117"/>
      <c r="I69" s="117"/>
      <c r="J69" s="28"/>
      <c r="K69" s="117"/>
      <c r="L69" s="28"/>
      <c r="M69" s="117"/>
      <c r="N69" s="28"/>
      <c r="O69" s="117"/>
      <c r="P69" s="117"/>
      <c r="Q69" s="33"/>
    </row>
    <row r="70" spans="1:18" s="21" customFormat="1" x14ac:dyDescent="0.2">
      <c r="A70" s="54">
        <v>3141</v>
      </c>
      <c r="B70" s="200"/>
      <c r="C70" s="49" t="s">
        <v>82</v>
      </c>
      <c r="D70" s="61">
        <f>SUM(E70:P70)</f>
        <v>0</v>
      </c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33"/>
    </row>
    <row r="71" spans="1:18" s="21" customFormat="1" x14ac:dyDescent="0.2">
      <c r="A71" s="54">
        <v>3151</v>
      </c>
      <c r="B71" s="200"/>
      <c r="C71" s="49" t="s">
        <v>83</v>
      </c>
      <c r="D71" s="61">
        <f>SUM(E71:P71)</f>
        <v>0</v>
      </c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33"/>
    </row>
    <row r="72" spans="1:18" s="21" customFormat="1" ht="24" x14ac:dyDescent="0.2">
      <c r="A72" s="54">
        <v>3171</v>
      </c>
      <c r="B72" s="200"/>
      <c r="C72" s="49" t="s">
        <v>84</v>
      </c>
      <c r="D72" s="61">
        <f t="shared" si="2"/>
        <v>0</v>
      </c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33"/>
    </row>
    <row r="73" spans="1:18" s="21" customFormat="1" x14ac:dyDescent="0.2">
      <c r="A73" s="54">
        <v>3181</v>
      </c>
      <c r="B73" s="200"/>
      <c r="C73" s="49" t="s">
        <v>85</v>
      </c>
      <c r="D73" s="61">
        <f t="shared" si="2"/>
        <v>0</v>
      </c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33"/>
    </row>
    <row r="74" spans="1:18" s="21" customFormat="1" x14ac:dyDescent="0.2">
      <c r="A74" s="54">
        <v>3221</v>
      </c>
      <c r="B74" s="200"/>
      <c r="C74" s="49" t="s">
        <v>86</v>
      </c>
      <c r="D74" s="61">
        <f t="shared" si="2"/>
        <v>0</v>
      </c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33"/>
    </row>
    <row r="75" spans="1:18" s="21" customFormat="1" x14ac:dyDescent="0.2">
      <c r="A75" s="56">
        <v>3231</v>
      </c>
      <c r="B75" s="202"/>
      <c r="C75" s="50" t="s">
        <v>87</v>
      </c>
      <c r="D75" s="61">
        <f t="shared" si="2"/>
        <v>0</v>
      </c>
      <c r="E75" s="28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33"/>
    </row>
    <row r="76" spans="1:18" s="21" customFormat="1" ht="24" x14ac:dyDescent="0.2">
      <c r="A76" s="54">
        <v>3261</v>
      </c>
      <c r="B76" s="200"/>
      <c r="C76" s="49" t="s">
        <v>88</v>
      </c>
      <c r="D76" s="61">
        <f t="shared" si="2"/>
        <v>0</v>
      </c>
      <c r="E76" s="28"/>
      <c r="F76" s="117"/>
      <c r="G76" s="117"/>
      <c r="H76" s="28"/>
      <c r="I76" s="28"/>
      <c r="J76" s="117"/>
      <c r="K76" s="117"/>
      <c r="L76" s="117"/>
      <c r="M76" s="117"/>
      <c r="N76" s="117"/>
      <c r="O76" s="117"/>
      <c r="P76" s="117"/>
      <c r="Q76" s="33"/>
    </row>
    <row r="77" spans="1:18" s="21" customFormat="1" ht="24" x14ac:dyDescent="0.2">
      <c r="A77" s="54">
        <v>3311</v>
      </c>
      <c r="B77" s="200"/>
      <c r="C77" s="49" t="s">
        <v>89</v>
      </c>
      <c r="D77" s="61">
        <f t="shared" si="2"/>
        <v>0</v>
      </c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33"/>
    </row>
    <row r="78" spans="1:18" s="21" customFormat="1" ht="24" x14ac:dyDescent="0.2">
      <c r="A78" s="54">
        <v>3331</v>
      </c>
      <c r="B78" s="200"/>
      <c r="C78" s="49" t="s">
        <v>90</v>
      </c>
      <c r="D78" s="61">
        <f t="shared" si="2"/>
        <v>0</v>
      </c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33"/>
    </row>
    <row r="79" spans="1:18" s="21" customFormat="1" x14ac:dyDescent="0.2">
      <c r="A79" s="54">
        <v>3341</v>
      </c>
      <c r="B79" s="200"/>
      <c r="C79" s="49" t="s">
        <v>91</v>
      </c>
      <c r="D79" s="61">
        <f t="shared" si="2"/>
        <v>0</v>
      </c>
      <c r="E79" s="28"/>
      <c r="F79" s="117"/>
      <c r="G79" s="117"/>
      <c r="H79" s="117"/>
      <c r="I79" s="117"/>
      <c r="J79" s="117"/>
      <c r="K79" s="117"/>
      <c r="L79" s="28"/>
      <c r="M79" s="117"/>
      <c r="N79" s="117"/>
      <c r="O79" s="117"/>
      <c r="P79" s="117"/>
      <c r="Q79" s="33"/>
    </row>
    <row r="80" spans="1:18" s="21" customFormat="1" x14ac:dyDescent="0.2">
      <c r="A80" s="54">
        <v>3342</v>
      </c>
      <c r="B80" s="200"/>
      <c r="C80" s="49" t="s">
        <v>92</v>
      </c>
      <c r="D80" s="61">
        <f t="shared" si="2"/>
        <v>0</v>
      </c>
      <c r="E80" s="28"/>
      <c r="F80" s="117"/>
      <c r="G80" s="117"/>
      <c r="H80" s="117"/>
      <c r="I80" s="117"/>
      <c r="J80" s="117"/>
      <c r="K80" s="117"/>
      <c r="L80" s="28"/>
      <c r="M80" s="117"/>
      <c r="N80" s="117"/>
      <c r="O80" s="117"/>
      <c r="P80" s="117"/>
      <c r="Q80" s="33"/>
    </row>
    <row r="81" spans="1:17" s="21" customFormat="1" ht="24" x14ac:dyDescent="0.2">
      <c r="A81" s="54">
        <v>3361</v>
      </c>
      <c r="B81" s="200"/>
      <c r="C81" s="49" t="s">
        <v>93</v>
      </c>
      <c r="D81" s="61">
        <f t="shared" si="2"/>
        <v>0</v>
      </c>
      <c r="E81" s="28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33"/>
    </row>
    <row r="82" spans="1:17" s="21" customFormat="1" x14ac:dyDescent="0.2">
      <c r="A82" s="54">
        <v>3362</v>
      </c>
      <c r="B82" s="200"/>
      <c r="C82" s="49" t="s">
        <v>94</v>
      </c>
      <c r="D82" s="61">
        <f t="shared" si="2"/>
        <v>0</v>
      </c>
      <c r="E82" s="28"/>
      <c r="F82" s="117"/>
      <c r="G82" s="117"/>
      <c r="H82" s="117"/>
      <c r="I82" s="117"/>
      <c r="J82" s="117"/>
      <c r="K82" s="117"/>
      <c r="L82" s="117"/>
      <c r="M82" s="28"/>
      <c r="N82" s="117"/>
      <c r="O82" s="117"/>
      <c r="P82" s="117"/>
      <c r="Q82" s="33"/>
    </row>
    <row r="83" spans="1:17" s="21" customFormat="1" x14ac:dyDescent="0.2">
      <c r="A83" s="54">
        <v>3381</v>
      </c>
      <c r="B83" s="200"/>
      <c r="C83" s="49" t="s">
        <v>95</v>
      </c>
      <c r="D83" s="61">
        <f t="shared" si="2"/>
        <v>0</v>
      </c>
      <c r="E83" s="28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33"/>
    </row>
    <row r="84" spans="1:17" s="21" customFormat="1" ht="24" x14ac:dyDescent="0.2">
      <c r="A84" s="54">
        <v>3391</v>
      </c>
      <c r="B84" s="200"/>
      <c r="C84" s="49" t="s">
        <v>96</v>
      </c>
      <c r="D84" s="61">
        <f t="shared" si="2"/>
        <v>64000</v>
      </c>
      <c r="E84" s="28">
        <v>64000</v>
      </c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33"/>
    </row>
    <row r="85" spans="1:17" s="21" customFormat="1" x14ac:dyDescent="0.2">
      <c r="A85" s="54">
        <v>3411</v>
      </c>
      <c r="B85" s="200"/>
      <c r="C85" s="49" t="s">
        <v>97</v>
      </c>
      <c r="D85" s="61">
        <f t="shared" si="2"/>
        <v>0</v>
      </c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33"/>
    </row>
    <row r="86" spans="1:17" s="21" customFormat="1" x14ac:dyDescent="0.2">
      <c r="A86" s="54">
        <v>3451</v>
      </c>
      <c r="B86" s="200"/>
      <c r="C86" s="49" t="s">
        <v>98</v>
      </c>
      <c r="D86" s="61">
        <f t="shared" si="2"/>
        <v>0</v>
      </c>
      <c r="E86" s="28"/>
      <c r="F86" s="117"/>
      <c r="G86" s="117"/>
      <c r="H86" s="117"/>
      <c r="I86" s="28"/>
      <c r="J86" s="117"/>
      <c r="K86" s="117"/>
      <c r="L86" s="117"/>
      <c r="M86" s="117"/>
      <c r="N86" s="28"/>
      <c r="O86" s="117"/>
      <c r="P86" s="117"/>
      <c r="Q86" s="33"/>
    </row>
    <row r="87" spans="1:17" s="21" customFormat="1" x14ac:dyDescent="0.2">
      <c r="A87" s="54">
        <v>3471</v>
      </c>
      <c r="B87" s="200"/>
      <c r="C87" s="49" t="s">
        <v>99</v>
      </c>
      <c r="D87" s="61">
        <f t="shared" si="2"/>
        <v>0</v>
      </c>
      <c r="E87" s="28"/>
      <c r="F87" s="117"/>
      <c r="G87" s="117"/>
      <c r="H87" s="117"/>
      <c r="I87" s="28"/>
      <c r="J87" s="117"/>
      <c r="K87" s="117"/>
      <c r="L87" s="117"/>
      <c r="M87" s="117"/>
      <c r="N87" s="28"/>
      <c r="O87" s="117"/>
      <c r="P87" s="117"/>
      <c r="Q87" s="33"/>
    </row>
    <row r="88" spans="1:17" s="21" customFormat="1" ht="24" x14ac:dyDescent="0.2">
      <c r="A88" s="54">
        <v>3511</v>
      </c>
      <c r="B88" s="200"/>
      <c r="C88" s="49" t="s">
        <v>100</v>
      </c>
      <c r="D88" s="61">
        <f t="shared" si="2"/>
        <v>0</v>
      </c>
      <c r="E88" s="28"/>
      <c r="F88" s="117"/>
      <c r="G88" s="117"/>
      <c r="H88" s="117"/>
      <c r="I88" s="28"/>
      <c r="J88" s="117"/>
      <c r="K88" s="117"/>
      <c r="L88" s="117"/>
      <c r="M88" s="28"/>
      <c r="N88" s="117"/>
      <c r="O88" s="117"/>
      <c r="P88" s="117"/>
      <c r="Q88" s="33"/>
    </row>
    <row r="89" spans="1:17" s="34" customFormat="1" ht="36" x14ac:dyDescent="0.2">
      <c r="A89" s="54">
        <v>3531</v>
      </c>
      <c r="B89" s="200"/>
      <c r="C89" s="49" t="s">
        <v>101</v>
      </c>
      <c r="D89" s="61">
        <f t="shared" si="2"/>
        <v>0</v>
      </c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33"/>
    </row>
    <row r="90" spans="1:17" s="21" customFormat="1" ht="36" x14ac:dyDescent="0.2">
      <c r="A90" s="54">
        <v>3541</v>
      </c>
      <c r="B90" s="200"/>
      <c r="C90" s="49" t="s">
        <v>102</v>
      </c>
      <c r="D90" s="61">
        <f t="shared" si="2"/>
        <v>0</v>
      </c>
      <c r="E90" s="28"/>
      <c r="F90" s="28"/>
      <c r="G90" s="28"/>
      <c r="H90" s="29"/>
      <c r="I90" s="28"/>
      <c r="J90" s="29"/>
      <c r="K90" s="28"/>
      <c r="L90" s="29"/>
      <c r="M90" s="28"/>
      <c r="N90" s="29"/>
      <c r="O90" s="28"/>
      <c r="P90" s="29"/>
      <c r="Q90" s="30"/>
    </row>
    <row r="91" spans="1:17" s="21" customFormat="1" ht="24" x14ac:dyDescent="0.2">
      <c r="A91" s="54">
        <v>3551</v>
      </c>
      <c r="B91" s="200"/>
      <c r="C91" s="49" t="s">
        <v>103</v>
      </c>
      <c r="D91" s="61">
        <f t="shared" si="2"/>
        <v>0</v>
      </c>
      <c r="E91" s="28"/>
      <c r="F91" s="29"/>
      <c r="G91" s="29"/>
      <c r="H91" s="28"/>
      <c r="I91" s="29"/>
      <c r="J91" s="28"/>
      <c r="K91" s="29"/>
      <c r="L91" s="28"/>
      <c r="M91" s="29"/>
      <c r="N91" s="28"/>
      <c r="O91" s="29"/>
      <c r="P91" s="28"/>
      <c r="Q91" s="30"/>
    </row>
    <row r="92" spans="1:17" s="21" customFormat="1" ht="24" x14ac:dyDescent="0.2">
      <c r="A92" s="54">
        <v>3571</v>
      </c>
      <c r="B92" s="200"/>
      <c r="C92" s="49" t="s">
        <v>104</v>
      </c>
      <c r="D92" s="61">
        <f t="shared" si="2"/>
        <v>0</v>
      </c>
      <c r="E92" s="28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30"/>
    </row>
    <row r="93" spans="1:17" s="21" customFormat="1" ht="24" x14ac:dyDescent="0.2">
      <c r="A93" s="54">
        <v>3572</v>
      </c>
      <c r="B93" s="200"/>
      <c r="C93" s="49" t="s">
        <v>105</v>
      </c>
      <c r="D93" s="61">
        <f t="shared" ref="D93:D104" si="3">SUM(E93:P93)</f>
        <v>0</v>
      </c>
      <c r="E93" s="28"/>
      <c r="F93" s="29"/>
      <c r="G93" s="29"/>
      <c r="H93" s="117"/>
      <c r="I93" s="29"/>
      <c r="J93" s="29"/>
      <c r="K93" s="29"/>
      <c r="L93" s="29"/>
      <c r="M93" s="29"/>
      <c r="N93" s="29"/>
      <c r="O93" s="29"/>
      <c r="P93" s="29"/>
      <c r="Q93" s="30"/>
    </row>
    <row r="94" spans="1:17" s="21" customFormat="1" x14ac:dyDescent="0.2">
      <c r="A94" s="54">
        <v>3581</v>
      </c>
      <c r="B94" s="200"/>
      <c r="C94" s="49" t="s">
        <v>106</v>
      </c>
      <c r="D94" s="61">
        <f t="shared" si="3"/>
        <v>0</v>
      </c>
      <c r="E94" s="28"/>
      <c r="F94" s="29"/>
      <c r="G94" s="29"/>
      <c r="H94" s="29"/>
      <c r="I94" s="28"/>
      <c r="J94" s="29"/>
      <c r="K94" s="29"/>
      <c r="L94" s="29"/>
      <c r="M94" s="28"/>
      <c r="N94" s="29"/>
      <c r="O94" s="29"/>
      <c r="P94" s="29"/>
      <c r="Q94" s="30"/>
    </row>
    <row r="95" spans="1:17" s="21" customFormat="1" x14ac:dyDescent="0.2">
      <c r="A95" s="54">
        <v>3591</v>
      </c>
      <c r="B95" s="200"/>
      <c r="C95" s="49" t="s">
        <v>107</v>
      </c>
      <c r="D95" s="61">
        <f t="shared" si="3"/>
        <v>0</v>
      </c>
      <c r="E95" s="28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30"/>
    </row>
    <row r="96" spans="1:17" s="21" customFormat="1" ht="40.5" customHeight="1" x14ac:dyDescent="0.2">
      <c r="A96" s="54">
        <v>3621</v>
      </c>
      <c r="B96" s="200"/>
      <c r="C96" s="49" t="s">
        <v>108</v>
      </c>
      <c r="D96" s="61">
        <f t="shared" si="3"/>
        <v>0</v>
      </c>
      <c r="E96" s="28"/>
      <c r="F96" s="28"/>
      <c r="G96" s="28"/>
      <c r="H96" s="29"/>
      <c r="I96" s="29"/>
      <c r="J96" s="29"/>
      <c r="K96" s="29"/>
      <c r="L96" s="29"/>
      <c r="M96" s="29"/>
      <c r="N96" s="29"/>
      <c r="O96" s="29"/>
      <c r="P96" s="29"/>
      <c r="Q96" s="30"/>
    </row>
    <row r="97" spans="1:18" s="21" customFormat="1" ht="18.75" customHeight="1" x14ac:dyDescent="0.2">
      <c r="A97" s="54">
        <v>3711</v>
      </c>
      <c r="B97" s="200"/>
      <c r="C97" s="49" t="s">
        <v>109</v>
      </c>
      <c r="D97" s="61">
        <f t="shared" si="3"/>
        <v>0</v>
      </c>
      <c r="E97" s="28"/>
      <c r="F97" s="29"/>
      <c r="G97" s="29"/>
      <c r="H97" s="28"/>
      <c r="I97" s="29"/>
      <c r="J97" s="29"/>
      <c r="K97" s="28"/>
      <c r="L97" s="28"/>
      <c r="M97" s="29"/>
      <c r="N97" s="28"/>
      <c r="O97" s="29"/>
      <c r="P97" s="29"/>
      <c r="Q97" s="30"/>
    </row>
    <row r="98" spans="1:18" s="34" customFormat="1" ht="17.25" customHeight="1" x14ac:dyDescent="0.2">
      <c r="A98" s="54">
        <v>3721</v>
      </c>
      <c r="B98" s="200"/>
      <c r="C98" s="49" t="s">
        <v>110</v>
      </c>
      <c r="D98" s="61">
        <f t="shared" si="3"/>
        <v>0</v>
      </c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33"/>
    </row>
    <row r="99" spans="1:18" s="34" customFormat="1" x14ac:dyDescent="0.2">
      <c r="A99" s="54">
        <v>3751</v>
      </c>
      <c r="B99" s="200"/>
      <c r="C99" s="49" t="s">
        <v>111</v>
      </c>
      <c r="D99" s="61">
        <f t="shared" si="3"/>
        <v>0</v>
      </c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33"/>
    </row>
    <row r="100" spans="1:18" s="34" customFormat="1" x14ac:dyDescent="0.2">
      <c r="A100" s="54">
        <v>3791</v>
      </c>
      <c r="B100" s="200"/>
      <c r="C100" s="49" t="s">
        <v>112</v>
      </c>
      <c r="D100" s="61">
        <f t="shared" si="3"/>
        <v>578.09</v>
      </c>
      <c r="E100" s="28">
        <v>578.09</v>
      </c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33"/>
    </row>
    <row r="101" spans="1:18" s="34" customFormat="1" x14ac:dyDescent="0.2">
      <c r="A101" s="54">
        <v>3821</v>
      </c>
      <c r="B101" s="200"/>
      <c r="C101" s="49" t="s">
        <v>113</v>
      </c>
      <c r="D101" s="61">
        <f t="shared" si="3"/>
        <v>0</v>
      </c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33"/>
    </row>
    <row r="102" spans="1:18" s="34" customFormat="1" x14ac:dyDescent="0.2">
      <c r="A102" s="54">
        <v>3822</v>
      </c>
      <c r="B102" s="200"/>
      <c r="C102" s="49" t="s">
        <v>114</v>
      </c>
      <c r="D102" s="61">
        <f t="shared" si="3"/>
        <v>0</v>
      </c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33"/>
    </row>
    <row r="103" spans="1:18" s="34" customFormat="1" x14ac:dyDescent="0.2">
      <c r="A103" s="54">
        <v>3792</v>
      </c>
      <c r="B103" s="200"/>
      <c r="C103" s="49" t="s">
        <v>115</v>
      </c>
      <c r="D103" s="61">
        <f t="shared" si="3"/>
        <v>0</v>
      </c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33"/>
    </row>
    <row r="104" spans="1:18" s="34" customFormat="1" x14ac:dyDescent="0.2">
      <c r="A104" s="54">
        <v>3921</v>
      </c>
      <c r="B104" s="200"/>
      <c r="C104" s="49" t="s">
        <v>116</v>
      </c>
      <c r="D104" s="61">
        <f t="shared" si="3"/>
        <v>0</v>
      </c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33"/>
    </row>
    <row r="105" spans="1:18" s="11" customFormat="1" ht="25.5" x14ac:dyDescent="0.2">
      <c r="A105" s="22"/>
      <c r="B105" s="201"/>
      <c r="C105" s="62" t="s">
        <v>18</v>
      </c>
      <c r="D105" s="65">
        <f t="shared" ref="D105:P105" si="4">SUM(D68:D104)</f>
        <v>64578.09</v>
      </c>
      <c r="E105" s="24">
        <f t="shared" si="4"/>
        <v>64578.09</v>
      </c>
      <c r="F105" s="24">
        <f t="shared" si="4"/>
        <v>0</v>
      </c>
      <c r="G105" s="24">
        <f t="shared" si="4"/>
        <v>0</v>
      </c>
      <c r="H105" s="24">
        <f t="shared" si="4"/>
        <v>0</v>
      </c>
      <c r="I105" s="24">
        <f t="shared" si="4"/>
        <v>0</v>
      </c>
      <c r="J105" s="24">
        <f t="shared" si="4"/>
        <v>0</v>
      </c>
      <c r="K105" s="24">
        <f t="shared" si="4"/>
        <v>0</v>
      </c>
      <c r="L105" s="24">
        <f t="shared" si="4"/>
        <v>0</v>
      </c>
      <c r="M105" s="24">
        <f t="shared" si="4"/>
        <v>0</v>
      </c>
      <c r="N105" s="24">
        <f t="shared" si="4"/>
        <v>0</v>
      </c>
      <c r="O105" s="24">
        <f t="shared" si="4"/>
        <v>0</v>
      </c>
      <c r="P105" s="24">
        <f t="shared" si="4"/>
        <v>0</v>
      </c>
      <c r="Q105" s="30"/>
      <c r="R105" s="26"/>
    </row>
    <row r="106" spans="1:18" ht="30" customHeight="1" x14ac:dyDescent="0.2">
      <c r="A106" s="68">
        <v>4419</v>
      </c>
      <c r="B106" s="203"/>
      <c r="C106" s="68" t="s">
        <v>122</v>
      </c>
      <c r="D106" s="36">
        <f t="shared" ref="D106:D119" si="5">SUM(E106:P106)</f>
        <v>0</v>
      </c>
      <c r="E106" s="125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8"/>
    </row>
    <row r="107" spans="1:18" s="11" customFormat="1" ht="24.75" customHeight="1" x14ac:dyDescent="0.2">
      <c r="A107" s="473" t="s">
        <v>117</v>
      </c>
      <c r="B107" s="474"/>
      <c r="C107" s="475"/>
      <c r="D107" s="23">
        <f t="shared" ref="D107:P107" si="6">SUM(D106:D106)</f>
        <v>0</v>
      </c>
      <c r="E107" s="126">
        <f t="shared" si="6"/>
        <v>0</v>
      </c>
      <c r="F107" s="39">
        <f t="shared" si="6"/>
        <v>0</v>
      </c>
      <c r="G107" s="39">
        <f t="shared" si="6"/>
        <v>0</v>
      </c>
      <c r="H107" s="39">
        <f t="shared" si="6"/>
        <v>0</v>
      </c>
      <c r="I107" s="39">
        <f t="shared" si="6"/>
        <v>0</v>
      </c>
      <c r="J107" s="39">
        <f t="shared" si="6"/>
        <v>0</v>
      </c>
      <c r="K107" s="39">
        <f t="shared" si="6"/>
        <v>0</v>
      </c>
      <c r="L107" s="39">
        <f t="shared" si="6"/>
        <v>0</v>
      </c>
      <c r="M107" s="39">
        <f t="shared" si="6"/>
        <v>0</v>
      </c>
      <c r="N107" s="39">
        <f t="shared" si="6"/>
        <v>0</v>
      </c>
      <c r="O107" s="39">
        <f t="shared" si="6"/>
        <v>0</v>
      </c>
      <c r="P107" s="39">
        <f t="shared" si="6"/>
        <v>0</v>
      </c>
      <c r="Q107" s="25"/>
    </row>
    <row r="108" spans="1:18" ht="25.5" x14ac:dyDescent="0.2">
      <c r="A108" s="35">
        <v>5151</v>
      </c>
      <c r="B108" s="204"/>
      <c r="C108" s="40" t="s">
        <v>144</v>
      </c>
      <c r="D108" s="36">
        <f>SUM(E108:P108)</f>
        <v>0</v>
      </c>
      <c r="E108" s="37"/>
      <c r="F108" s="125"/>
      <c r="G108" s="125"/>
      <c r="H108" s="125"/>
      <c r="I108" s="125"/>
      <c r="J108" s="37"/>
      <c r="K108" s="37"/>
      <c r="L108" s="37"/>
      <c r="M108" s="37"/>
      <c r="N108" s="37"/>
      <c r="O108" s="37"/>
      <c r="P108" s="37"/>
      <c r="Q108" s="38"/>
    </row>
    <row r="109" spans="1:18" x14ac:dyDescent="0.2">
      <c r="A109" s="35">
        <v>5611</v>
      </c>
      <c r="B109" s="204"/>
      <c r="C109" s="60" t="s">
        <v>146</v>
      </c>
      <c r="D109" s="36">
        <f>SUM(E109:P109)</f>
        <v>0</v>
      </c>
      <c r="E109" s="37"/>
      <c r="F109" s="37"/>
      <c r="G109" s="125"/>
      <c r="H109" s="125"/>
      <c r="I109" s="37"/>
      <c r="J109" s="37"/>
      <c r="K109" s="37"/>
      <c r="L109" s="37"/>
      <c r="M109" s="37"/>
      <c r="N109" s="37"/>
      <c r="O109" s="37"/>
      <c r="P109" s="37"/>
      <c r="Q109" s="38"/>
    </row>
    <row r="110" spans="1:18" x14ac:dyDescent="0.2">
      <c r="A110" s="35">
        <v>5621</v>
      </c>
      <c r="B110" s="204"/>
      <c r="C110" s="60" t="s">
        <v>149</v>
      </c>
      <c r="D110" s="36">
        <f>SUM(E110:P110)</f>
        <v>0</v>
      </c>
      <c r="E110" s="37"/>
      <c r="F110" s="125"/>
      <c r="G110" s="125"/>
      <c r="H110" s="125"/>
      <c r="I110" s="37"/>
      <c r="J110" s="37"/>
      <c r="K110" s="37"/>
      <c r="L110" s="37"/>
      <c r="M110" s="37"/>
      <c r="N110" s="37"/>
      <c r="O110" s="37"/>
      <c r="P110" s="37"/>
      <c r="Q110" s="38"/>
    </row>
    <row r="111" spans="1:18" x14ac:dyDescent="0.2">
      <c r="A111" s="35">
        <v>5911</v>
      </c>
      <c r="B111" s="204"/>
      <c r="C111" s="60" t="s">
        <v>145</v>
      </c>
      <c r="D111" s="36">
        <f t="shared" ref="D111" si="7">SUM(E111:P111)</f>
        <v>0</v>
      </c>
      <c r="E111" s="37"/>
      <c r="F111" s="206"/>
      <c r="G111" s="259">
        <v>0</v>
      </c>
      <c r="H111" s="206"/>
      <c r="I111" s="206">
        <v>0</v>
      </c>
      <c r="J111" s="71"/>
      <c r="K111" s="71"/>
      <c r="L111" s="71"/>
      <c r="M111" s="206">
        <v>0</v>
      </c>
      <c r="N111" s="37"/>
      <c r="O111" s="37"/>
      <c r="P111" s="37"/>
      <c r="Q111" s="38"/>
    </row>
    <row r="112" spans="1:18" s="11" customFormat="1" ht="25.5" x14ac:dyDescent="0.2">
      <c r="A112" s="22"/>
      <c r="B112" s="201"/>
      <c r="C112" s="62" t="s">
        <v>118</v>
      </c>
      <c r="D112" s="23">
        <f>SUM(D108:D111)</f>
        <v>0</v>
      </c>
      <c r="E112" s="126">
        <f t="shared" ref="E112:P112" si="8">SUM(E108:E111)</f>
        <v>0</v>
      </c>
      <c r="F112" s="126">
        <f t="shared" si="8"/>
        <v>0</v>
      </c>
      <c r="G112" s="126">
        <f t="shared" si="8"/>
        <v>0</v>
      </c>
      <c r="H112" s="126">
        <f t="shared" si="8"/>
        <v>0</v>
      </c>
      <c r="I112" s="126">
        <f t="shared" si="8"/>
        <v>0</v>
      </c>
      <c r="J112" s="126">
        <f t="shared" si="8"/>
        <v>0</v>
      </c>
      <c r="K112" s="126">
        <f t="shared" si="8"/>
        <v>0</v>
      </c>
      <c r="L112" s="126">
        <f t="shared" si="8"/>
        <v>0</v>
      </c>
      <c r="M112" s="126">
        <f t="shared" si="8"/>
        <v>0</v>
      </c>
      <c r="N112" s="126">
        <f t="shared" si="8"/>
        <v>0</v>
      </c>
      <c r="O112" s="126">
        <f t="shared" si="8"/>
        <v>0</v>
      </c>
      <c r="P112" s="39">
        <f t="shared" si="8"/>
        <v>0</v>
      </c>
      <c r="Q112" s="25"/>
    </row>
    <row r="113" spans="1:18" x14ac:dyDescent="0.2">
      <c r="A113" s="35"/>
      <c r="B113" s="204"/>
      <c r="C113" s="40"/>
      <c r="D113" s="36"/>
      <c r="E113" s="37"/>
      <c r="F113" s="125"/>
      <c r="G113" s="125"/>
      <c r="H113" s="125"/>
      <c r="I113" s="125"/>
      <c r="J113" s="37"/>
      <c r="K113" s="37"/>
      <c r="L113" s="37"/>
      <c r="M113" s="37"/>
      <c r="N113" s="37"/>
      <c r="O113" s="37"/>
      <c r="P113" s="37"/>
      <c r="Q113" s="38"/>
    </row>
    <row r="114" spans="1:18" x14ac:dyDescent="0.2">
      <c r="A114" s="35"/>
      <c r="B114" s="204"/>
      <c r="C114" s="60"/>
      <c r="D114" s="36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8"/>
    </row>
    <row r="115" spans="1:18" x14ac:dyDescent="0.2">
      <c r="A115" s="35"/>
      <c r="B115" s="204"/>
      <c r="C115" s="60"/>
      <c r="D115" s="36"/>
      <c r="E115" s="37"/>
      <c r="F115" s="125"/>
      <c r="H115" s="125"/>
      <c r="I115" s="125"/>
      <c r="J115" s="37"/>
      <c r="K115" s="37"/>
      <c r="L115" s="37"/>
      <c r="M115" s="125"/>
      <c r="N115" s="37"/>
      <c r="O115" s="37"/>
      <c r="P115" s="37"/>
      <c r="Q115" s="38"/>
    </row>
    <row r="116" spans="1:18" x14ac:dyDescent="0.2">
      <c r="A116" s="35"/>
      <c r="B116" s="204"/>
      <c r="C116" s="60"/>
      <c r="D116" s="36">
        <f t="shared" si="5"/>
        <v>0</v>
      </c>
      <c r="E116" s="37"/>
      <c r="F116" s="37"/>
      <c r="G116" s="37"/>
      <c r="H116" s="37"/>
      <c r="I116" s="37"/>
      <c r="J116" s="37"/>
      <c r="K116" s="37"/>
      <c r="L116" s="37"/>
      <c r="M116" s="125"/>
      <c r="N116" s="37"/>
      <c r="O116" s="37"/>
      <c r="P116" s="37"/>
      <c r="Q116" s="38"/>
    </row>
    <row r="117" spans="1:18" s="11" customFormat="1" ht="25.5" x14ac:dyDescent="0.2">
      <c r="A117" s="22"/>
      <c r="B117" s="201"/>
      <c r="C117" s="62" t="s">
        <v>119</v>
      </c>
      <c r="D117" s="23">
        <f>SUM(D113:D116)</f>
        <v>0</v>
      </c>
      <c r="E117" s="39">
        <f t="shared" ref="E117:P117" si="9">SUM(E115:E116)</f>
        <v>0</v>
      </c>
      <c r="F117" s="126">
        <f t="shared" si="9"/>
        <v>0</v>
      </c>
      <c r="G117" s="126">
        <f t="shared" si="9"/>
        <v>0</v>
      </c>
      <c r="H117" s="126">
        <f t="shared" si="9"/>
        <v>0</v>
      </c>
      <c r="I117" s="126">
        <f t="shared" si="9"/>
        <v>0</v>
      </c>
      <c r="J117" s="39">
        <f t="shared" si="9"/>
        <v>0</v>
      </c>
      <c r="K117" s="39">
        <f t="shared" si="9"/>
        <v>0</v>
      </c>
      <c r="L117" s="39">
        <f t="shared" si="9"/>
        <v>0</v>
      </c>
      <c r="M117" s="126">
        <f t="shared" si="9"/>
        <v>0</v>
      </c>
      <c r="N117" s="39">
        <f t="shared" si="9"/>
        <v>0</v>
      </c>
      <c r="O117" s="39">
        <f t="shared" si="9"/>
        <v>0</v>
      </c>
      <c r="P117" s="39">
        <f t="shared" si="9"/>
        <v>0</v>
      </c>
      <c r="Q117" s="25"/>
      <c r="R117" s="26"/>
    </row>
    <row r="118" spans="1:18" x14ac:dyDescent="0.2">
      <c r="A118" s="35"/>
      <c r="B118" s="204"/>
      <c r="C118" s="60"/>
      <c r="D118" s="36">
        <f t="shared" si="5"/>
        <v>0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8"/>
    </row>
    <row r="119" spans="1:18" x14ac:dyDescent="0.2">
      <c r="A119" s="35"/>
      <c r="B119" s="204"/>
      <c r="C119" s="60"/>
      <c r="D119" s="36">
        <f t="shared" si="5"/>
        <v>0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8"/>
    </row>
    <row r="120" spans="1:18" s="11" customFormat="1" x14ac:dyDescent="0.2">
      <c r="A120" s="22"/>
      <c r="B120" s="201"/>
      <c r="C120" s="62" t="s">
        <v>120</v>
      </c>
      <c r="D120" s="23">
        <f t="shared" ref="D120:P120" si="10">SUM(D118:D119)</f>
        <v>0</v>
      </c>
      <c r="E120" s="39">
        <f t="shared" si="10"/>
        <v>0</v>
      </c>
      <c r="F120" s="39">
        <f t="shared" si="10"/>
        <v>0</v>
      </c>
      <c r="G120" s="39">
        <f t="shared" si="10"/>
        <v>0</v>
      </c>
      <c r="H120" s="39" t="s">
        <v>147</v>
      </c>
      <c r="I120" s="39">
        <f t="shared" si="10"/>
        <v>0</v>
      </c>
      <c r="J120" s="39">
        <f t="shared" si="10"/>
        <v>0</v>
      </c>
      <c r="K120" s="39">
        <f t="shared" si="10"/>
        <v>0</v>
      </c>
      <c r="L120" s="39">
        <f t="shared" si="10"/>
        <v>0</v>
      </c>
      <c r="M120" s="39">
        <f t="shared" si="10"/>
        <v>0</v>
      </c>
      <c r="N120" s="39">
        <f t="shared" si="10"/>
        <v>0</v>
      </c>
      <c r="O120" s="39">
        <f t="shared" si="10"/>
        <v>0</v>
      </c>
      <c r="P120" s="39">
        <f t="shared" si="10"/>
        <v>0</v>
      </c>
      <c r="Q120" s="25"/>
    </row>
    <row r="121" spans="1:18" s="11" customFormat="1" ht="17.25" customHeight="1" x14ac:dyDescent="0.2">
      <c r="A121" s="188"/>
      <c r="B121" s="205"/>
      <c r="C121" s="189" t="s">
        <v>19</v>
      </c>
      <c r="D121" s="190">
        <f t="shared" ref="D121:P121" si="11">SUM(D120,D117,D112,D107,D105,D67,D28)</f>
        <v>78773.12999999999</v>
      </c>
      <c r="E121" s="191">
        <f t="shared" si="11"/>
        <v>78773.12999999999</v>
      </c>
      <c r="F121" s="191">
        <f t="shared" si="11"/>
        <v>0</v>
      </c>
      <c r="G121" s="191">
        <f t="shared" si="11"/>
        <v>0</v>
      </c>
      <c r="H121" s="191">
        <f t="shared" si="11"/>
        <v>0</v>
      </c>
      <c r="I121" s="191">
        <f t="shared" si="11"/>
        <v>0</v>
      </c>
      <c r="J121" s="191">
        <f t="shared" si="11"/>
        <v>0</v>
      </c>
      <c r="K121" s="191">
        <f t="shared" si="11"/>
        <v>0</v>
      </c>
      <c r="L121" s="191">
        <f t="shared" si="11"/>
        <v>0</v>
      </c>
      <c r="M121" s="191">
        <f t="shared" si="11"/>
        <v>0</v>
      </c>
      <c r="N121" s="191">
        <f t="shared" si="11"/>
        <v>0</v>
      </c>
      <c r="O121" s="191">
        <f t="shared" si="11"/>
        <v>0</v>
      </c>
      <c r="P121" s="191">
        <f t="shared" si="11"/>
        <v>0</v>
      </c>
      <c r="Q121" s="192"/>
      <c r="R121" s="26"/>
    </row>
    <row r="124" spans="1:18" ht="48.75" customHeight="1" x14ac:dyDescent="0.2">
      <c r="C124" s="118" t="s">
        <v>129</v>
      </c>
      <c r="G124" s="1" t="s">
        <v>131</v>
      </c>
      <c r="L124" s="1" t="s">
        <v>133</v>
      </c>
    </row>
    <row r="125" spans="1:18" x14ac:dyDescent="0.2">
      <c r="C125" s="118" t="s">
        <v>130</v>
      </c>
      <c r="G125" s="1" t="s">
        <v>132</v>
      </c>
      <c r="L125" s="1" t="s">
        <v>134</v>
      </c>
    </row>
    <row r="131" spans="6:13" x14ac:dyDescent="0.2">
      <c r="G131" s="42"/>
    </row>
    <row r="132" spans="6:13" x14ac:dyDescent="0.2">
      <c r="G132" s="42"/>
    </row>
    <row r="134" spans="6:13" x14ac:dyDescent="0.2">
      <c r="G134" s="44"/>
    </row>
    <row r="135" spans="6:13" x14ac:dyDescent="0.2">
      <c r="G135" s="44"/>
      <c r="H135" s="44"/>
      <c r="I135" s="44"/>
    </row>
    <row r="139" spans="6:13" x14ac:dyDescent="0.2">
      <c r="F139" s="44"/>
    </row>
    <row r="141" spans="6:13" x14ac:dyDescent="0.2">
      <c r="I141" s="42"/>
      <c r="J141" s="45"/>
      <c r="K141" s="44"/>
      <c r="L141" s="44"/>
      <c r="M141" s="44"/>
    </row>
    <row r="142" spans="6:13" x14ac:dyDescent="0.2">
      <c r="I142" s="42"/>
      <c r="J142" s="45"/>
      <c r="K142" s="44"/>
      <c r="L142" s="44"/>
      <c r="M142" s="44"/>
    </row>
    <row r="143" spans="6:13" x14ac:dyDescent="0.2">
      <c r="I143" s="42"/>
      <c r="J143" s="45"/>
      <c r="K143" s="44"/>
      <c r="L143" s="44"/>
      <c r="M143" s="44"/>
    </row>
    <row r="144" spans="6:13" x14ac:dyDescent="0.2">
      <c r="I144" s="42"/>
      <c r="J144" s="45"/>
      <c r="K144" s="44"/>
      <c r="L144" s="44"/>
      <c r="M144" s="44"/>
    </row>
    <row r="145" spans="9:13" x14ac:dyDescent="0.2">
      <c r="I145" s="42"/>
      <c r="J145" s="45"/>
      <c r="K145" s="44"/>
      <c r="L145" s="44"/>
      <c r="M145" s="44"/>
    </row>
    <row r="146" spans="9:13" x14ac:dyDescent="0.2">
      <c r="I146" s="42"/>
      <c r="J146" s="45"/>
      <c r="K146" s="44"/>
      <c r="L146" s="44"/>
      <c r="M146" s="44"/>
    </row>
    <row r="147" spans="9:13" x14ac:dyDescent="0.2">
      <c r="I147" s="42"/>
      <c r="J147" s="45"/>
      <c r="K147" s="44"/>
      <c r="L147" s="44"/>
      <c r="M147" s="44"/>
    </row>
    <row r="148" spans="9:13" x14ac:dyDescent="0.2">
      <c r="I148" s="42"/>
      <c r="J148" s="45"/>
      <c r="K148" s="44"/>
      <c r="L148" s="44"/>
      <c r="M148" s="44"/>
    </row>
    <row r="149" spans="9:13" x14ac:dyDescent="0.2">
      <c r="I149" s="42"/>
      <c r="J149" s="45"/>
      <c r="K149" s="44"/>
      <c r="L149" s="44"/>
      <c r="M149" s="44"/>
    </row>
    <row r="150" spans="9:13" x14ac:dyDescent="0.2">
      <c r="I150" s="42"/>
      <c r="J150" s="45"/>
      <c r="K150" s="44"/>
      <c r="L150" s="44"/>
      <c r="M150" s="44"/>
    </row>
    <row r="151" spans="9:13" x14ac:dyDescent="0.2">
      <c r="I151" s="42"/>
      <c r="J151" s="45"/>
      <c r="K151" s="44"/>
      <c r="L151" s="44"/>
      <c r="M151" s="44"/>
    </row>
    <row r="152" spans="9:13" x14ac:dyDescent="0.2">
      <c r="I152" s="42"/>
      <c r="J152" s="45"/>
      <c r="K152" s="44"/>
      <c r="L152" s="44"/>
      <c r="M152" s="44"/>
    </row>
    <row r="153" spans="9:13" x14ac:dyDescent="0.2">
      <c r="I153" s="42"/>
      <c r="J153" s="45"/>
      <c r="K153" s="44"/>
      <c r="L153" s="44"/>
      <c r="M153" s="44"/>
    </row>
    <row r="154" spans="9:13" x14ac:dyDescent="0.2">
      <c r="I154" s="42"/>
      <c r="J154" s="45"/>
      <c r="K154" s="44"/>
      <c r="L154" s="44"/>
      <c r="M154" s="44"/>
    </row>
    <row r="157" spans="9:13" x14ac:dyDescent="0.2">
      <c r="I157" s="44"/>
      <c r="J157" s="45"/>
      <c r="K157" s="44"/>
      <c r="L157" s="44"/>
    </row>
  </sheetData>
  <mergeCells count="13">
    <mergeCell ref="Q13:Q27"/>
    <mergeCell ref="R13:R27"/>
    <mergeCell ref="A107:C107"/>
    <mergeCell ref="M4:Q4"/>
    <mergeCell ref="C6:J8"/>
    <mergeCell ref="M6:Q6"/>
    <mergeCell ref="M8:Q8"/>
    <mergeCell ref="A11:A12"/>
    <mergeCell ref="B11:B12"/>
    <mergeCell ref="C11:C12"/>
    <mergeCell ref="D11:D12"/>
    <mergeCell ref="E11:P11"/>
    <mergeCell ref="Q11:Q12"/>
  </mergeCells>
  <printOptions horizontalCentered="1"/>
  <pageMargins left="0.44" right="0.39370078740157483" top="0.31496062992125984" bottom="0.39370078740157483" header="0" footer="0"/>
  <pageSetup paperSize="5" scale="48" orientation="landscape" r:id="rId1"/>
  <headerFooter alignWithMargins="0">
    <oddFooter>Página &amp;P de &amp;N</oddFooter>
  </headerFooter>
  <rowBreaks count="1" manualBreakCount="1">
    <brk id="65" max="1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18</vt:i4>
      </vt:variant>
    </vt:vector>
  </HeadingPairs>
  <TitlesOfParts>
    <vt:vector size="37" baseType="lpstr">
      <vt:lpstr>ACTUALIZACIONES</vt:lpstr>
      <vt:lpstr>CONCENTRADO</vt:lpstr>
      <vt:lpstr>CONCENTRADO REAL</vt:lpstr>
      <vt:lpstr>PRES. TOTAL CALENARIZADA 2013</vt:lpstr>
      <vt:lpstr>Presupuestacion estatal</vt:lpstr>
      <vt:lpstr>Presupuestacion federal</vt:lpstr>
      <vt:lpstr>calculo de ingresos propios</vt:lpstr>
      <vt:lpstr>remanentes 2012</vt:lpstr>
      <vt:lpstr>COECYTJAL</vt:lpstr>
      <vt:lpstr>ELECTROMECANICA</vt:lpstr>
      <vt:lpstr>ALIMENTARIAS</vt:lpstr>
      <vt:lpstr>INOVACION AGRICOLA</vt:lpstr>
      <vt:lpstr>SERVICIOS ESCOLARES</vt:lpstr>
      <vt:lpstr>DESARROLLO ACADEMICO</vt:lpstr>
      <vt:lpstr>VINCULACIÓN</vt:lpstr>
      <vt:lpstr>ACADEMICO TOTALIZADO</vt:lpstr>
      <vt:lpstr>PLANEACION</vt:lpstr>
      <vt:lpstr>CALIDAD</vt:lpstr>
      <vt:lpstr>ADMON REC</vt:lpstr>
      <vt:lpstr>'ACADEMICO TOTALIZADO'!Área_de_impresión</vt:lpstr>
      <vt:lpstr>'ADMON REC'!Área_de_impresión</vt:lpstr>
      <vt:lpstr>ALIMENTARIAS!Área_de_impresión</vt:lpstr>
      <vt:lpstr>'calculo de ingresos propios'!Área_de_impresión</vt:lpstr>
      <vt:lpstr>CALIDAD!Área_de_impresión</vt:lpstr>
      <vt:lpstr>COECYTJAL!Área_de_impresión</vt:lpstr>
      <vt:lpstr>CONCENTRADO!Área_de_impresión</vt:lpstr>
      <vt:lpstr>'CONCENTRADO REAL'!Área_de_impresión</vt:lpstr>
      <vt:lpstr>'DESARROLLO ACADEMICO'!Área_de_impresión</vt:lpstr>
      <vt:lpstr>ELECTROMECANICA!Área_de_impresión</vt:lpstr>
      <vt:lpstr>'INOVACION AGRICOLA'!Área_de_impresión</vt:lpstr>
      <vt:lpstr>PLANEACION!Área_de_impresión</vt:lpstr>
      <vt:lpstr>'PRES. TOTAL CALENARIZADA 2013'!Área_de_impresión</vt:lpstr>
      <vt:lpstr>'Presupuestacion estatal'!Área_de_impresión</vt:lpstr>
      <vt:lpstr>'Presupuestacion federal'!Área_de_impresión</vt:lpstr>
      <vt:lpstr>'remanentes 2012'!Área_de_impresión</vt:lpstr>
      <vt:lpstr>'SERVICIOS ESCOLARES'!Área_de_impresión</vt:lpstr>
      <vt:lpstr>VINCULACIÓN!Área_de_impresión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Marizmendi</dc:creator>
  <cp:lastModifiedBy>Personal</cp:lastModifiedBy>
  <cp:lastPrinted>2013-11-28T20:05:37Z</cp:lastPrinted>
  <dcterms:created xsi:type="dcterms:W3CDTF">2008-06-09T23:56:22Z</dcterms:created>
  <dcterms:modified xsi:type="dcterms:W3CDTF">2016-06-30T21:05:25Z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7d807394-11da-4130-b677-66d7bb2b2e1b</vt:lpwstr>
  </property>
</Properties>
</file>